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EVALUACIÓN JURIDICA" sheetId="1" r:id="rId1"/>
    <sheet name="VERIFICACION DE LOS D. FINANCIE" sheetId="2" r:id="rId2"/>
    <sheet name="EVALUACIÓN FINANCIERA" sheetId="3" r:id="rId3"/>
    <sheet name="EVALUACIÓN TÉCNICA" sheetId="4" r:id="rId4"/>
    <sheet name="CONCILIACIONES" sheetId="5" state="hidden" r:id="rId5"/>
  </sheets>
  <definedNames>
    <definedName name="_xlnm.Print_Area" localSheetId="2">'EVALUACIÓN FINANCIERA'!$D$10:$Y$23</definedName>
    <definedName name="_xlnm.Print_Area" localSheetId="1">'VERIFICACION DE LOS D. FINANCIE'!$B$4:$Y$13</definedName>
    <definedName name="_xlnm.Print_Titles" localSheetId="2">'EVALUACIÓN FINANCIERA'!$B:$C,'EVALUACIÓN FINANCIERA'!$5:$14</definedName>
    <definedName name="_xlnm.Print_Titles" localSheetId="1">'VERIFICACION DE LOS D. FINANCIE'!$A:$A,'VERIFICACION DE LOS D. FINANCIE'!$1:$3</definedName>
  </definedNames>
  <calcPr fullCalcOnLoad="1"/>
</workbook>
</file>

<file path=xl/sharedStrings.xml><?xml version="1.0" encoding="utf-8"?>
<sst xmlns="http://schemas.openxmlformats.org/spreadsheetml/2006/main" count="450" uniqueCount="171">
  <si>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</si>
  <si>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</si>
  <si>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</si>
  <si>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</si>
  <si>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</si>
  <si>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</si>
  <si>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</si>
  <si>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</si>
  <si>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</si>
  <si>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</si>
  <si>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</si>
  <si>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</si>
  <si>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</si>
  <si>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</si>
  <si>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</si>
  <si>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</si>
  <si>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</si>
  <si>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</si>
  <si>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</si>
  <si>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</si>
  <si>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</si>
  <si>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</si>
  <si>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</si>
  <si>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</si>
  <si>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</si>
  <si>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</si>
  <si>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</si>
  <si>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</si>
  <si>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</si>
  <si>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</si>
  <si>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</si>
  <si>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</si>
  <si>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</si>
  <si>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</si>
  <si>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</si>
  <si>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r>
      <t>DECLARACIÓN DE RENTA</t>
    </r>
    <r>
      <rPr>
        <sz val="10"/>
        <rFont val="Arial Narrow"/>
        <family val="2"/>
      </rPr>
      <t xml:space="preserve"> (documento subsanable)</t>
    </r>
  </si>
  <si>
    <t>VALOR TOTAL PRESUPUESTO</t>
  </si>
  <si>
    <t>CERTIFICADO ANTECEDENTES DISCIPLINARIOS del contador y del revisor fiscal (ó contador independiente que dictamina o audita los estados financieros) (documento subsanable)</t>
  </si>
  <si>
    <t xml:space="preserve">Balance General y Estado de Resultados comparativos, con Notas Explicativas, con  corte a 31 de diciembre de 2007 - 2006 (documento subsanable) </t>
  </si>
  <si>
    <t>VALOR TOTAL OFERTADO</t>
  </si>
  <si>
    <t>CAPACIDAD DE OFERTA</t>
  </si>
  <si>
    <t>FOLIO 41</t>
  </si>
  <si>
    <t>INDUMUEBLES HERNANDEZ LTDA.</t>
  </si>
  <si>
    <t>OFFICE WORK SYSTEM LTDA.</t>
  </si>
  <si>
    <t>IGM INGENIERIA LTDA.</t>
  </si>
  <si>
    <t>MODERLINE S.A.</t>
  </si>
  <si>
    <t>MUEBLES Y PLASTICOS S.A.</t>
  </si>
  <si>
    <t>HIMR &amp; CIA S.A.</t>
  </si>
  <si>
    <t>U. T. CRUZ HERMANOS</t>
  </si>
  <si>
    <t>YESID GENARO CRUZ RAMIREZ</t>
  </si>
  <si>
    <t>RAUL ROGELIO CRUZ RAMIREZ</t>
  </si>
  <si>
    <t>FOLIO 70 A FOLIO 74</t>
  </si>
  <si>
    <t>FOLIO 69</t>
  </si>
  <si>
    <t>FOLIO 48 A FOLIO 67</t>
  </si>
  <si>
    <t>FOLIO 76 A FOLIO 79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</si>
  <si>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SELECCIONAR LA MEJOR OFERTA  PARA CONTRATAR UN PROVEEDOR CALIFICADO  QUE EFECTUÉ EL SUMINISTRO E INSTALACIÓN  DE DIVISIONES MODULARES DE OFICINA ABIERTA Y DEMÁS ELEMENTOS PARA ADECUAR  ÁREAS ADMINISTRATIVAS, ACADÉMICAS Y FACULTADES DE LA UNIVERSIDAD DISTRITAL FRANCISCO JOSÉ DE CALDAS.</t>
    </r>
  </si>
  <si>
    <t>RELACIÓN PATRIMONIAL &lt;=1.5 (VO/ PT)</t>
  </si>
  <si>
    <t>PATRIMONIO TOTAL</t>
  </si>
  <si>
    <t>PRESUPUESTO OFICIAL</t>
  </si>
  <si>
    <t>HOJA 13 A HOJA 23</t>
  </si>
  <si>
    <t>HOJA 24</t>
  </si>
  <si>
    <t>NO ENVIA CERTIFICADOS NI COPIA DE TARJETA PROFESIONAL</t>
  </si>
  <si>
    <t>RAZON CORRIENTE &gt;= 1.3 (AC/PC)</t>
  </si>
  <si>
    <t>CAPITAL DE TRABAJO &gt;=30% del Presupuesto Oficial ((AC-PC)</t>
  </si>
  <si>
    <t>ENDEUDAMIENTO &lt;=70 % (PASIVO TOTAL / ACTIVO TOTAL )*100</t>
  </si>
  <si>
    <t>FOLIO 30 A FOLIO 40</t>
  </si>
  <si>
    <t>FOLIO 42 A FOLIO 45</t>
  </si>
  <si>
    <t>FOLIO 50 A FOLIO 74</t>
  </si>
  <si>
    <t>FOLIO 75</t>
  </si>
  <si>
    <t>FOLIO 77</t>
  </si>
  <si>
    <t>FOLIO 78 A FOLIO 81</t>
  </si>
  <si>
    <t>FOLIO 23 A FOLIO 40</t>
  </si>
  <si>
    <t>FOLIO 47</t>
  </si>
  <si>
    <t>FOLIO 48</t>
  </si>
  <si>
    <t>FOLIO 41 A FOLIO 46</t>
  </si>
  <si>
    <t>FOLIO 32 A FOLIO 82</t>
  </si>
  <si>
    <t>FOLIO 83</t>
  </si>
  <si>
    <t>FOLIO 84</t>
  </si>
  <si>
    <t>FOLIO 85 A FOLIO 88</t>
  </si>
  <si>
    <t>FOLIO 22 A FOLIO 25</t>
  </si>
  <si>
    <t>CONCILIACION PATRIMONIAL Y DE RENTA</t>
  </si>
  <si>
    <t>NO PRESENTA CERTIFICADO DE ANTECEDENTES DE LA JUNTA CENTRAL SINO DE LA CONTRALORIA</t>
  </si>
  <si>
    <t>FOLIO 36</t>
  </si>
  <si>
    <t>FOLIO 37</t>
  </si>
  <si>
    <t>FOLIO 30 A FOLIO 35</t>
  </si>
  <si>
    <t>N/A</t>
  </si>
  <si>
    <t>CONCILIACIONES PATRIMONIAL Y DE UTILIDAD</t>
  </si>
  <si>
    <t>PENDIENTE COMPARATIVO 2006 2007
NOTAS A LOS EE.FF.</t>
  </si>
  <si>
    <t>EVALUACIÓN FINANCIERA: CONVOCATORIA PUBLICA Nº 022 DE 2008</t>
  </si>
  <si>
    <t xml:space="preserve"> UNIVERSIDAD DISTRITAL</t>
  </si>
  <si>
    <t>FRANCISCO JOSE DE CALDAS</t>
  </si>
  <si>
    <t>DIVISIÓN DE RECURSOS FISICOS</t>
  </si>
  <si>
    <t>ESTUDIO TÉCNICO</t>
  </si>
  <si>
    <t>CONVOCATORIA PÚBLICA No. 022-2008</t>
  </si>
  <si>
    <t>ASPECTOS A EVALUAR</t>
  </si>
  <si>
    <t>HIMHER S.A</t>
  </si>
  <si>
    <t>MUEBLES Y PLÁSTICOS S.A COMPUMUEBLES</t>
  </si>
  <si>
    <t>INDUMUEBLES</t>
  </si>
  <si>
    <t>IGM INGENIERIA LTDA</t>
  </si>
  <si>
    <t>MODERLINE S.A</t>
  </si>
  <si>
    <t>OFFICE WOK SYSTEM LTDA</t>
  </si>
  <si>
    <t>CALIFICACIÓN TÉCNICA
(Requerimientos Técnicos)</t>
  </si>
  <si>
    <t>ADMISIBLE</t>
  </si>
  <si>
    <t>NO ADMISIBLE</t>
  </si>
  <si>
    <t>RUP</t>
  </si>
  <si>
    <t>NO PRESENTA RUP DE CRUZ RAMIREZ RAUL ROGELIO
EL RUP: DE CRUZ RAMIREZ YECID GENARO, NO MUESTRA LAS ACTIVIDADES SOLICITADAS POR LA UNIVERSIDAD</t>
  </si>
  <si>
    <t>K DE CONTRATACIÓN</t>
  </si>
  <si>
    <t>NO CUMPLE</t>
  </si>
  <si>
    <t>OBJETO</t>
  </si>
  <si>
    <t>VALOR</t>
  </si>
  <si>
    <t>Catalogo</t>
  </si>
  <si>
    <t>PRESENTO</t>
  </si>
  <si>
    <t>OBSERVACIONES</t>
  </si>
  <si>
    <t>SE TOMARON LAS TRES PRIMERAS CERTIFICACIONES DE CINCO PRESENTADAS</t>
  </si>
  <si>
    <r>
      <t>RAFAEL ENRIQUE ARANZALEZ GARCIA</t>
    </r>
    <r>
      <rPr>
        <sz val="10"/>
        <rFont val="Arial Narrow"/>
        <family val="2"/>
      </rPr>
      <t xml:space="preserve">
Jefe División de Recursos Fisicos</t>
    </r>
  </si>
  <si>
    <t>Elaborado por: Ing. Diana Caro y Arq. Jairo Fernandez</t>
  </si>
  <si>
    <t>UNIVERSIDAD DISTRITAL FRANCISCO JOSÉ DE CALDAS</t>
  </si>
  <si>
    <t>VICERRECTORIA ADMINISTRATIVA Y FINANCIERA</t>
  </si>
  <si>
    <t>RESULTADO DEL ESTUDIO JURÍDICO</t>
  </si>
  <si>
    <t>DOCUMENTOS JURÍDICOS NUMERAL 2.2</t>
  </si>
  <si>
    <t>CALIFICACIÓN: ADMISIBLE NO ADMISIBLE</t>
  </si>
  <si>
    <t>NUMERAL</t>
  </si>
  <si>
    <t>DOCUMENTO EXIGIDO</t>
  </si>
  <si>
    <t>SUBSANABLE / NO SUBSANABLE</t>
  </si>
  <si>
    <t>PRESENTADO</t>
  </si>
  <si>
    <t>SI</t>
  </si>
  <si>
    <t>NO</t>
  </si>
  <si>
    <t xml:space="preserve">NO </t>
  </si>
  <si>
    <t xml:space="preserve">OBSERVACION </t>
  </si>
  <si>
    <t>2.2.1</t>
  </si>
  <si>
    <t>Carta presentación oferta</t>
  </si>
  <si>
    <t>X</t>
  </si>
  <si>
    <t>2.2.2</t>
  </si>
  <si>
    <t>Autorización de la junta dirctiva de la sociedad o entiodad para presentar propuesta</t>
  </si>
  <si>
    <t>x</t>
  </si>
  <si>
    <t>2.2.3</t>
  </si>
  <si>
    <t>Poder</t>
  </si>
  <si>
    <t>2.2.4</t>
  </si>
  <si>
    <t>Prueba de existencia ,representación legal y facultades</t>
  </si>
  <si>
    <t>2.2.5</t>
  </si>
  <si>
    <t>Documento de integración del Consorcio o Unión Temporal</t>
  </si>
  <si>
    <t>2.2.6</t>
  </si>
  <si>
    <t>Requisitos para los proponentes en Consorcio o Unión Tempòral</t>
  </si>
  <si>
    <t>2.2.7</t>
  </si>
  <si>
    <t>Registro Único de Proponentes</t>
  </si>
  <si>
    <t>2.2.8</t>
  </si>
  <si>
    <t>Garantia de seriedad de la oferta</t>
  </si>
  <si>
    <t>2.2.9</t>
  </si>
  <si>
    <t>Certificado de pagos se seguridad social y aportes parafiscales</t>
  </si>
  <si>
    <t>2.2.10</t>
  </si>
  <si>
    <t>Registro Unico Tributario</t>
  </si>
  <si>
    <t>2.2.11</t>
  </si>
  <si>
    <t>Certificados de Antecedentes disciplinarios y Fiscales</t>
  </si>
  <si>
    <t>De la empresa</t>
  </si>
  <si>
    <t>Del representante legal de la empresa</t>
  </si>
  <si>
    <t>OBSERVACIONES GENERALES</t>
  </si>
  <si>
    <t>CALIFICACION JURIDICA</t>
  </si>
  <si>
    <t>CONVOCATORIA PÚBLICA Nº 022 DE 2008 MODULARES 2-</t>
  </si>
  <si>
    <t>INDUMUEBLES HERNANDEZ LTDA</t>
  </si>
  <si>
    <t>OFFICE WORK SYSTEM LTDA</t>
  </si>
  <si>
    <t>HIMER &amp; CIA S.A.</t>
  </si>
  <si>
    <t>UNION T. CRUZ HERMANOS</t>
  </si>
  <si>
    <r>
      <t xml:space="preserve">NO PRESENTA- </t>
    </r>
    <r>
      <rPr>
        <sz val="8"/>
        <color indexed="10"/>
        <rFont val="Arial"/>
        <family val="2"/>
      </rPr>
      <t>NO ES SUBSANABLE</t>
    </r>
    <r>
      <rPr>
        <sz val="8"/>
        <rFont val="Arial"/>
        <family val="0"/>
      </rPr>
      <t>-</t>
    </r>
  </si>
  <si>
    <t>NO PRESENTO CERTIFICADO DE VIGENCIA DE INSCRIPCIÓN Y DE ANTECEDENTES DISCIPLINARIOS DEL CONTADOR PÚBLICO., EL K DE CONTRATACIÓN ES DE 3,540 SMMLV.</t>
  </si>
  <si>
    <t>NO CUMPLE JURIDICAMENTE</t>
  </si>
  <si>
    <t>CUMPLE JURIDICAMENTE</t>
  </si>
  <si>
    <t>NO CUMPLE CON LOS GRUPOS Y ESPECIALIDADES SOLICITADAS. CRUZ RAMIREZ RAÚL ROGELIO NO ANEXO RUP, TAMPO ANEXO ESTADOS FINANCIEROS.</t>
  </si>
  <si>
    <t>UNIÓN TEMPORAL CRUZ HERMANOS</t>
  </si>
  <si>
    <t xml:space="preserve">LA PROPUESTA CONSTA DE 37 FOLIOS Y NO DE DOS ((2) COMO APARECE EN LA CARTA DE PRESENTACIÓN.  </t>
  </si>
  <si>
    <r>
      <t>LA SUMATORIA DE LAS CERTIFICACIONES PRESENTADAS NO SUMAN EL VALOR TOTAL EXIGIDO EN LOS TERMINOS DE REFERENCIA $480.000.000 ESTA INFORMACION SE TOMA DE LOS FOLIOS 42 Y 43 DE LA PROPUESTA. A FOLIO 44  PRESENTA   CONTRATO FIRMADO CON EL HOSPITAL UNIVERSITARIO DEL VALLE, PERO NO PRESENTA CERTIFICACION DEL MISMO.</t>
    </r>
    <r>
      <rPr>
        <b/>
        <sz val="10"/>
        <color indexed="10"/>
        <rFont val="Arial Narrow"/>
        <family val="2"/>
      </rPr>
      <t xml:space="preserve"> POR LO ANTERIOR SE CONCLUYE QUE NO CUMPLE TECNICAMENTE</t>
    </r>
    <r>
      <rPr>
        <b/>
        <sz val="10"/>
        <rFont val="Arial Narrow"/>
        <family val="2"/>
      </rPr>
      <t>.</t>
    </r>
  </si>
  <si>
    <r>
      <t>NOTA ESPECIAL</t>
    </r>
    <r>
      <rPr>
        <sz val="8"/>
        <rFont val="Arial"/>
        <family val="0"/>
      </rPr>
      <t xml:space="preserve">: LAS EMPRESAS QUE DEBAN SUBSANAR ALGUN TIPO DE DOCUMENTO, DEBERÁN HACERLO </t>
    </r>
    <r>
      <rPr>
        <sz val="8"/>
        <color indexed="12"/>
        <rFont val="Arial"/>
        <family val="2"/>
      </rPr>
      <t xml:space="preserve">ANTES DE LAS CINCO (5:00 PM.) DEL DÍA:JUEVES 4 DE DICIEMBRE DE 2008. </t>
    </r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</si>
</sst>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.##0"/>
    <numFmt numFmtId="201" formatCode="#.##0.00"/>
    <numFmt numFmtId="202" formatCode="0.000"/>
    <numFmt numFmtId="203" formatCode="0.0"/>
    <numFmt numFmtId="204" formatCode="_ * #,##0.0_ ;_ * \-#,##0.0_ ;_ * &quot;-&quot;??_ ;_ @_ "/>
    <numFmt numFmtId="205" formatCode="_ * #,##0_ ;_ * \-#,##0_ ;_ * &quot;-&quot;??_ ;_ @_ "/>
  </numFmts>
  <fonts count="43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b/>
      <sz val="11"/>
      <color indexed="8"/>
      <name val="Arial Narrow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color indexed="5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2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3" fontId="18" fillId="0" borderId="0" xfId="62" applyNumberFormat="1" applyAlignment="1">
      <alignment vertical="center"/>
      <protection/>
    </xf>
    <xf numFmtId="0" fontId="0" fillId="0" borderId="0" xfId="0" applyAlignment="1">
      <alignment vertical="center"/>
    </xf>
    <xf numFmtId="3" fontId="18" fillId="0" borderId="0" xfId="53" applyNumberFormat="1" applyAlignment="1">
      <alignment vertical="center"/>
      <protection/>
    </xf>
    <xf numFmtId="3" fontId="18" fillId="0" borderId="0" xfId="54" applyNumberFormat="1" applyAlignment="1">
      <alignment vertical="center"/>
      <protection/>
    </xf>
    <xf numFmtId="3" fontId="18" fillId="0" borderId="0" xfId="55" applyNumberFormat="1" applyAlignment="1">
      <alignment vertical="center"/>
      <protection/>
    </xf>
    <xf numFmtId="3" fontId="18" fillId="0" borderId="0" xfId="56" applyNumberFormat="1" applyAlignment="1">
      <alignment vertical="center"/>
      <protection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4" fillId="0" borderId="19" xfId="61" applyFont="1" applyBorder="1" applyAlignment="1">
      <alignment vertical="center" wrapText="1"/>
      <protection/>
    </xf>
    <xf numFmtId="3" fontId="18" fillId="0" borderId="19" xfId="62" applyNumberFormat="1" applyBorder="1" applyAlignment="1">
      <alignment vertical="center"/>
      <protection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5" fillId="26" borderId="19" xfId="0" applyFont="1" applyFill="1" applyBorder="1" applyAlignment="1">
      <alignment horizontal="center" vertical="center"/>
    </xf>
    <xf numFmtId="205" fontId="16" fillId="26" borderId="19" xfId="48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justify" vertical="center"/>
    </xf>
    <xf numFmtId="0" fontId="12" fillId="0" borderId="27" xfId="0" applyFont="1" applyBorder="1" applyAlignment="1">
      <alignment horizontal="justify" vertical="center"/>
    </xf>
    <xf numFmtId="0" fontId="11" fillId="0" borderId="28" xfId="0" applyFont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35" xfId="0" applyFont="1" applyBorder="1" applyAlignment="1">
      <alignment wrapText="1"/>
    </xf>
    <xf numFmtId="0" fontId="1" fillId="0" borderId="36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3" fontId="6" fillId="0" borderId="3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17" fillId="26" borderId="0" xfId="0" applyNumberFormat="1" applyFont="1" applyFill="1" applyAlignment="1">
      <alignment vertical="center" wrapText="1"/>
    </xf>
    <xf numFmtId="3" fontId="8" fillId="25" borderId="0" xfId="0" applyNumberFormat="1" applyFont="1" applyFill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3" fontId="6" fillId="0" borderId="32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42" xfId="0" applyFont="1" applyBorder="1" applyAlignment="1">
      <alignment horizontal="justify" vertical="center" wrapText="1"/>
    </xf>
    <xf numFmtId="0" fontId="35" fillId="0" borderId="32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43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5" fillId="0" borderId="50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wrapText="1"/>
    </xf>
    <xf numFmtId="0" fontId="39" fillId="0" borderId="3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wrapText="1"/>
    </xf>
    <xf numFmtId="0" fontId="39" fillId="0" borderId="5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39" fillId="0" borderId="3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2" fillId="0" borderId="61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9" fillId="16" borderId="61" xfId="0" applyFont="1" applyFill="1" applyBorder="1" applyAlignment="1">
      <alignment horizontal="center" vertical="center" wrapText="1"/>
    </xf>
    <xf numFmtId="0" fontId="39" fillId="16" borderId="57" xfId="0" applyFont="1" applyFill="1" applyBorder="1" applyAlignment="1">
      <alignment horizontal="center" vertical="center" wrapText="1"/>
    </xf>
    <xf numFmtId="0" fontId="39" fillId="16" borderId="62" xfId="0" applyFont="1" applyFill="1" applyBorder="1" applyAlignment="1">
      <alignment horizontal="center" vertical="center" wrapText="1"/>
    </xf>
    <xf numFmtId="0" fontId="39" fillId="16" borderId="45" xfId="0" applyFont="1" applyFill="1" applyBorder="1" applyAlignment="1">
      <alignment horizontal="center" vertical="center"/>
    </xf>
    <xf numFmtId="0" fontId="39" fillId="16" borderId="57" xfId="0" applyFont="1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 wrapText="1"/>
    </xf>
    <xf numFmtId="0" fontId="8" fillId="16" borderId="61" xfId="0" applyFont="1" applyFill="1" applyBorder="1" applyAlignment="1">
      <alignment horizontal="center" vertical="center"/>
    </xf>
    <xf numFmtId="0" fontId="8" fillId="16" borderId="57" xfId="0" applyFont="1" applyFill="1" applyBorder="1" applyAlignment="1">
      <alignment horizontal="center" vertical="center"/>
    </xf>
    <xf numFmtId="0" fontId="8" fillId="16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8" fillId="16" borderId="29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8" fillId="25" borderId="61" xfId="0" applyFont="1" applyFill="1" applyBorder="1" applyAlignment="1">
      <alignment horizontal="center" vertical="center"/>
    </xf>
    <xf numFmtId="0" fontId="8" fillId="25" borderId="57" xfId="0" applyFont="1" applyFill="1" applyBorder="1" applyAlignment="1">
      <alignment horizontal="center" vertical="center"/>
    </xf>
    <xf numFmtId="0" fontId="8" fillId="25" borderId="62" xfId="0" applyFont="1" applyFill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0" fillId="0" borderId="43" xfId="0" applyFont="1" applyBorder="1" applyAlignment="1">
      <alignment horizontal="justify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3" fillId="25" borderId="57" xfId="0" applyFont="1" applyFill="1" applyBorder="1" applyAlignment="1">
      <alignment horizontal="center" vertical="center"/>
    </xf>
    <xf numFmtId="0" fontId="13" fillId="25" borderId="6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8" fillId="25" borderId="61" xfId="0" applyFont="1" applyFill="1" applyBorder="1" applyAlignment="1">
      <alignment horizontal="center" vertical="center" wrapText="1"/>
    </xf>
    <xf numFmtId="0" fontId="13" fillId="25" borderId="6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justify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16" borderId="61" xfId="0" applyFont="1" applyFill="1" applyBorder="1" applyAlignment="1">
      <alignment horizontal="center" vertical="center" wrapText="1"/>
    </xf>
    <xf numFmtId="0" fontId="37" fillId="16" borderId="62" xfId="0" applyFont="1" applyFill="1" applyBorder="1" applyAlignment="1">
      <alignment horizontal="center" vertical="center" wrapText="1"/>
    </xf>
    <xf numFmtId="0" fontId="37" fillId="25" borderId="66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 wrapText="1"/>
    </xf>
    <xf numFmtId="0" fontId="37" fillId="25" borderId="66" xfId="0" applyFont="1" applyFill="1" applyBorder="1" applyAlignment="1">
      <alignment horizontal="center" vertical="center"/>
    </xf>
    <xf numFmtId="0" fontId="37" fillId="25" borderId="53" xfId="0" applyFont="1" applyFill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justify" vertical="center" wrapText="1"/>
    </xf>
    <xf numFmtId="0" fontId="37" fillId="0" borderId="67" xfId="0" applyFont="1" applyBorder="1" applyAlignment="1">
      <alignment horizontal="justify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justify" vertical="center" wrapText="1"/>
    </xf>
    <xf numFmtId="0" fontId="37" fillId="0" borderId="68" xfId="0" applyFont="1" applyBorder="1" applyAlignment="1">
      <alignment horizontal="justify" vertical="center" wrapText="1"/>
    </xf>
    <xf numFmtId="0" fontId="37" fillId="0" borderId="61" xfId="0" applyFont="1" applyBorder="1" applyAlignment="1">
      <alignment horizontal="center" wrapText="1"/>
    </xf>
    <xf numFmtId="0" fontId="37" fillId="0" borderId="57" xfId="0" applyFont="1" applyBorder="1" applyAlignment="1">
      <alignment horizontal="center" wrapText="1"/>
    </xf>
    <xf numFmtId="0" fontId="37" fillId="0" borderId="62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161925</xdr:rowOff>
    </xdr:from>
    <xdr:to>
      <xdr:col>1</xdr:col>
      <xdr:colOff>590550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61925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D9" sqref="D9:E9"/>
    </sheetView>
  </sheetViews>
  <sheetFormatPr defaultColWidth="11.421875" defaultRowHeight="12.75"/>
  <cols>
    <col min="1" max="1" width="8.28125" style="36" customWidth="1"/>
    <col min="2" max="2" width="9.140625" style="36" customWidth="1"/>
    <col min="3" max="3" width="37.421875" style="36" customWidth="1"/>
    <col min="4" max="4" width="5.7109375" style="36" customWidth="1"/>
    <col min="5" max="5" width="5.8515625" style="36" customWidth="1"/>
    <col min="6" max="7" width="6.421875" style="36" customWidth="1"/>
    <col min="8" max="8" width="12.57421875" style="36" customWidth="1"/>
    <col min="9" max="10" width="6.421875" style="36" customWidth="1"/>
    <col min="11" max="11" width="11.8515625" style="36" customWidth="1"/>
    <col min="12" max="13" width="6.421875" style="36" customWidth="1"/>
    <col min="14" max="14" width="11.8515625" style="36" customWidth="1"/>
    <col min="15" max="16" width="6.421875" style="36" customWidth="1"/>
    <col min="17" max="17" width="12.140625" style="36" customWidth="1"/>
    <col min="18" max="19" width="6.421875" style="36" customWidth="1"/>
    <col min="20" max="20" width="12.00390625" style="36" customWidth="1"/>
    <col min="21" max="22" width="6.421875" style="36" customWidth="1"/>
    <col min="23" max="23" width="11.8515625" style="36" customWidth="1"/>
    <col min="24" max="25" width="6.421875" style="36" customWidth="1"/>
    <col min="26" max="26" width="13.421875" style="36" customWidth="1"/>
    <col min="27" max="16384" width="9.140625" style="36" customWidth="1"/>
  </cols>
  <sheetData>
    <row r="1" spans="1:26" ht="12.75">
      <c r="A1" s="224" t="s">
        <v>116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12.75">
      <c r="A2" s="224" t="s">
        <v>117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12.75">
      <c r="A3" s="224" t="s">
        <v>157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12.75">
      <c r="A4" s="224" t="s">
        <v>118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12.75">
      <c r="A5" s="224" t="s">
        <v>119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26" ht="12.75">
      <c r="A6" s="224" t="s">
        <v>120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spans="1:26" ht="13.5" thickBo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</row>
    <row r="8" spans="6:26" ht="26.25" customHeight="1" thickBot="1">
      <c r="F8" s="225" t="s">
        <v>158</v>
      </c>
      <c r="G8" s="226"/>
      <c r="H8" s="227"/>
      <c r="I8" s="228" t="s">
        <v>159</v>
      </c>
      <c r="J8" s="229"/>
      <c r="K8" s="230"/>
      <c r="L8" s="225" t="s">
        <v>98</v>
      </c>
      <c r="M8" s="226"/>
      <c r="N8" s="231"/>
      <c r="O8" s="225" t="s">
        <v>45</v>
      </c>
      <c r="P8" s="226"/>
      <c r="Q8" s="231"/>
      <c r="R8" s="228" t="s">
        <v>46</v>
      </c>
      <c r="S8" s="229"/>
      <c r="T8" s="230"/>
      <c r="U8" s="225" t="s">
        <v>160</v>
      </c>
      <c r="V8" s="226"/>
      <c r="W8" s="231"/>
      <c r="X8" s="225" t="s">
        <v>161</v>
      </c>
      <c r="Y8" s="226"/>
      <c r="Z8" s="231"/>
    </row>
    <row r="9" spans="1:26" ht="32.25" customHeight="1" thickBot="1">
      <c r="A9" s="189" t="s">
        <v>121</v>
      </c>
      <c r="B9" s="186" t="s">
        <v>122</v>
      </c>
      <c r="C9" s="219"/>
      <c r="D9" s="222" t="s">
        <v>123</v>
      </c>
      <c r="E9" s="223"/>
      <c r="F9" s="210" t="s">
        <v>124</v>
      </c>
      <c r="G9" s="211"/>
      <c r="H9" s="212"/>
      <c r="I9" s="218" t="s">
        <v>124</v>
      </c>
      <c r="J9" s="211"/>
      <c r="K9" s="188"/>
      <c r="L9" s="218" t="s">
        <v>124</v>
      </c>
      <c r="M9" s="211"/>
      <c r="N9" s="188"/>
      <c r="O9" s="218" t="s">
        <v>124</v>
      </c>
      <c r="P9" s="211"/>
      <c r="Q9" s="188"/>
      <c r="R9" s="218" t="s">
        <v>124</v>
      </c>
      <c r="S9" s="211"/>
      <c r="T9" s="188"/>
      <c r="U9" s="218" t="s">
        <v>124</v>
      </c>
      <c r="V9" s="211"/>
      <c r="W9" s="188"/>
      <c r="X9" s="218" t="s">
        <v>124</v>
      </c>
      <c r="Y9" s="211"/>
      <c r="Z9" s="188"/>
    </row>
    <row r="10" spans="1:26" ht="13.5" thickBot="1">
      <c r="A10" s="187"/>
      <c r="B10" s="220"/>
      <c r="C10" s="221"/>
      <c r="D10" s="158" t="s">
        <v>125</v>
      </c>
      <c r="E10" s="159" t="s">
        <v>126</v>
      </c>
      <c r="F10" s="160" t="s">
        <v>125</v>
      </c>
      <c r="G10" s="161" t="s">
        <v>127</v>
      </c>
      <c r="H10" s="161" t="s">
        <v>128</v>
      </c>
      <c r="I10" s="162" t="s">
        <v>125</v>
      </c>
      <c r="J10" s="163" t="s">
        <v>126</v>
      </c>
      <c r="K10" s="161" t="s">
        <v>128</v>
      </c>
      <c r="L10" s="160" t="s">
        <v>125</v>
      </c>
      <c r="M10" s="161" t="s">
        <v>127</v>
      </c>
      <c r="N10" s="161" t="s">
        <v>128</v>
      </c>
      <c r="O10" s="160" t="s">
        <v>125</v>
      </c>
      <c r="P10" s="161" t="s">
        <v>127</v>
      </c>
      <c r="Q10" s="161" t="s">
        <v>128</v>
      </c>
      <c r="R10" s="160" t="s">
        <v>125</v>
      </c>
      <c r="S10" s="161" t="s">
        <v>127</v>
      </c>
      <c r="T10" s="161" t="s">
        <v>128</v>
      </c>
      <c r="U10" s="162" t="s">
        <v>125</v>
      </c>
      <c r="V10" s="161" t="s">
        <v>127</v>
      </c>
      <c r="W10" s="161" t="s">
        <v>128</v>
      </c>
      <c r="X10" s="160" t="s">
        <v>125</v>
      </c>
      <c r="Y10" s="161" t="s">
        <v>127</v>
      </c>
      <c r="Z10" s="161" t="s">
        <v>128</v>
      </c>
    </row>
    <row r="11" spans="1:26" ht="113.25" thickBot="1">
      <c r="A11" s="137" t="s">
        <v>129</v>
      </c>
      <c r="B11" s="208" t="s">
        <v>130</v>
      </c>
      <c r="C11" s="209"/>
      <c r="D11" s="138"/>
      <c r="E11" s="139" t="s">
        <v>131</v>
      </c>
      <c r="F11" s="164"/>
      <c r="G11" s="165"/>
      <c r="H11" s="166"/>
      <c r="I11" s="164"/>
      <c r="J11" s="167"/>
      <c r="K11" s="185" t="s">
        <v>168</v>
      </c>
      <c r="L11" s="164"/>
      <c r="M11" s="167"/>
      <c r="N11" s="169"/>
      <c r="O11" s="164" t="s">
        <v>131</v>
      </c>
      <c r="P11" s="170"/>
      <c r="Q11" s="171"/>
      <c r="R11" s="164" t="s">
        <v>131</v>
      </c>
      <c r="S11" s="170"/>
      <c r="T11" s="171"/>
      <c r="U11" s="164" t="s">
        <v>131</v>
      </c>
      <c r="V11" s="167"/>
      <c r="W11" s="168"/>
      <c r="X11" s="164" t="s">
        <v>131</v>
      </c>
      <c r="Y11" s="167"/>
      <c r="Z11" s="183"/>
    </row>
    <row r="12" spans="1:26" ht="24.75" customHeight="1" thickBot="1">
      <c r="A12" s="137" t="s">
        <v>132</v>
      </c>
      <c r="B12" s="216" t="s">
        <v>133</v>
      </c>
      <c r="C12" s="217"/>
      <c r="D12" s="138"/>
      <c r="E12" s="139" t="s">
        <v>134</v>
      </c>
      <c r="F12" s="172" t="s">
        <v>131</v>
      </c>
      <c r="G12" s="173"/>
      <c r="H12" s="140"/>
      <c r="I12" s="172"/>
      <c r="J12" s="141"/>
      <c r="K12" s="142"/>
      <c r="L12" s="172" t="s">
        <v>131</v>
      </c>
      <c r="M12" s="141"/>
      <c r="N12" s="143"/>
      <c r="O12" s="172" t="s">
        <v>131</v>
      </c>
      <c r="P12" s="141"/>
      <c r="Q12" s="143"/>
      <c r="R12" s="172" t="s">
        <v>131</v>
      </c>
      <c r="S12" s="141"/>
      <c r="T12" s="143"/>
      <c r="U12" s="172" t="s">
        <v>131</v>
      </c>
      <c r="V12" s="141"/>
      <c r="W12" s="142"/>
      <c r="X12" s="172" t="s">
        <v>131</v>
      </c>
      <c r="Y12" s="141"/>
      <c r="Z12" s="143"/>
    </row>
    <row r="13" spans="1:26" ht="13.5" thickBot="1">
      <c r="A13" s="137" t="s">
        <v>135</v>
      </c>
      <c r="B13" s="208" t="s">
        <v>136</v>
      </c>
      <c r="C13" s="209"/>
      <c r="D13" s="138" t="s">
        <v>134</v>
      </c>
      <c r="E13" s="139"/>
      <c r="F13" s="174" t="s">
        <v>131</v>
      </c>
      <c r="G13" s="173"/>
      <c r="H13" s="140"/>
      <c r="I13" s="174"/>
      <c r="J13" s="141"/>
      <c r="K13" s="142"/>
      <c r="L13" s="174" t="s">
        <v>131</v>
      </c>
      <c r="M13" s="170"/>
      <c r="N13" s="171"/>
      <c r="O13" s="174" t="s">
        <v>131</v>
      </c>
      <c r="P13" s="141"/>
      <c r="Q13" s="143"/>
      <c r="R13" s="174" t="s">
        <v>131</v>
      </c>
      <c r="S13" s="141"/>
      <c r="T13" s="143"/>
      <c r="U13" s="174" t="s">
        <v>131</v>
      </c>
      <c r="V13" s="141"/>
      <c r="W13" s="142"/>
      <c r="X13" s="174" t="s">
        <v>131</v>
      </c>
      <c r="Y13" s="141"/>
      <c r="Z13" s="143"/>
    </row>
    <row r="14" spans="1:26" ht="13.5" thickBot="1">
      <c r="A14" s="137" t="s">
        <v>137</v>
      </c>
      <c r="B14" s="208" t="s">
        <v>138</v>
      </c>
      <c r="C14" s="209"/>
      <c r="D14" s="138"/>
      <c r="E14" s="139" t="s">
        <v>134</v>
      </c>
      <c r="F14" s="174" t="s">
        <v>131</v>
      </c>
      <c r="G14" s="173"/>
      <c r="H14" s="140"/>
      <c r="I14" s="174"/>
      <c r="J14" s="141"/>
      <c r="K14" s="142"/>
      <c r="L14" s="174" t="s">
        <v>131</v>
      </c>
      <c r="M14" s="141"/>
      <c r="N14" s="143"/>
      <c r="O14" s="174" t="s">
        <v>131</v>
      </c>
      <c r="P14" s="141"/>
      <c r="Q14" s="143"/>
      <c r="R14" s="174" t="s">
        <v>131</v>
      </c>
      <c r="S14" s="141"/>
      <c r="T14" s="143"/>
      <c r="U14" s="174" t="s">
        <v>131</v>
      </c>
      <c r="V14" s="141"/>
      <c r="W14" s="142"/>
      <c r="X14" s="174" t="s">
        <v>131</v>
      </c>
      <c r="Y14" s="141"/>
      <c r="Z14" s="143"/>
    </row>
    <row r="15" spans="1:26" ht="15" customHeight="1" thickBot="1">
      <c r="A15" s="137" t="s">
        <v>139</v>
      </c>
      <c r="B15" s="208" t="s">
        <v>140</v>
      </c>
      <c r="C15" s="209"/>
      <c r="D15" s="138"/>
      <c r="E15" s="139" t="s">
        <v>134</v>
      </c>
      <c r="F15" s="174" t="s">
        <v>85</v>
      </c>
      <c r="G15" s="173"/>
      <c r="H15" s="140"/>
      <c r="I15" s="174"/>
      <c r="J15" s="141"/>
      <c r="K15" s="142"/>
      <c r="L15" s="174" t="s">
        <v>85</v>
      </c>
      <c r="M15" s="141"/>
      <c r="N15" s="143"/>
      <c r="O15" s="174" t="s">
        <v>85</v>
      </c>
      <c r="P15" s="141"/>
      <c r="Q15" s="143"/>
      <c r="R15" s="174" t="s">
        <v>85</v>
      </c>
      <c r="S15" s="141"/>
      <c r="T15" s="143"/>
      <c r="U15" s="174" t="s">
        <v>85</v>
      </c>
      <c r="V15" s="141"/>
      <c r="W15" s="142"/>
      <c r="X15" s="174" t="s">
        <v>131</v>
      </c>
      <c r="Y15" s="141"/>
      <c r="Z15" s="143"/>
    </row>
    <row r="16" spans="1:26" ht="23.25" customHeight="1" thickBot="1">
      <c r="A16" s="137" t="s">
        <v>141</v>
      </c>
      <c r="B16" s="208" t="s">
        <v>142</v>
      </c>
      <c r="C16" s="209"/>
      <c r="D16" s="138"/>
      <c r="E16" s="139" t="s">
        <v>134</v>
      </c>
      <c r="F16" s="172" t="s">
        <v>85</v>
      </c>
      <c r="G16" s="173"/>
      <c r="H16" s="140"/>
      <c r="I16" s="172"/>
      <c r="J16" s="141"/>
      <c r="K16" s="142"/>
      <c r="L16" s="172" t="s">
        <v>85</v>
      </c>
      <c r="M16" s="141"/>
      <c r="N16" s="143"/>
      <c r="O16" s="172" t="s">
        <v>85</v>
      </c>
      <c r="P16" s="141"/>
      <c r="Q16" s="143"/>
      <c r="R16" s="172" t="s">
        <v>85</v>
      </c>
      <c r="S16" s="141"/>
      <c r="T16" s="143"/>
      <c r="U16" s="172" t="s">
        <v>85</v>
      </c>
      <c r="V16" s="141"/>
      <c r="W16" s="142"/>
      <c r="X16" s="172" t="s">
        <v>131</v>
      </c>
      <c r="Y16" s="141"/>
      <c r="Z16" s="143"/>
    </row>
    <row r="17" spans="1:26" ht="118.5" customHeight="1" thickBot="1">
      <c r="A17" s="137" t="s">
        <v>143</v>
      </c>
      <c r="B17" s="208" t="s">
        <v>144</v>
      </c>
      <c r="C17" s="209"/>
      <c r="E17" s="138" t="s">
        <v>134</v>
      </c>
      <c r="F17" s="174" t="s">
        <v>131</v>
      </c>
      <c r="G17" s="173"/>
      <c r="H17" s="140"/>
      <c r="I17" s="174"/>
      <c r="J17" s="141"/>
      <c r="K17" s="142"/>
      <c r="L17" s="174" t="s">
        <v>131</v>
      </c>
      <c r="M17" s="141"/>
      <c r="N17" s="143"/>
      <c r="O17" s="174" t="s">
        <v>131</v>
      </c>
      <c r="P17" s="141"/>
      <c r="Q17" s="143"/>
      <c r="R17" s="174" t="s">
        <v>131</v>
      </c>
      <c r="S17" s="141"/>
      <c r="T17" s="143"/>
      <c r="U17" s="174" t="s">
        <v>131</v>
      </c>
      <c r="V17" s="141"/>
      <c r="W17" s="142"/>
      <c r="X17" s="174" t="s">
        <v>131</v>
      </c>
      <c r="Y17" s="141"/>
      <c r="Z17" s="177" t="s">
        <v>166</v>
      </c>
    </row>
    <row r="18" spans="1:26" ht="36.75" customHeight="1" thickBot="1">
      <c r="A18" s="137" t="s">
        <v>145</v>
      </c>
      <c r="B18" s="208" t="s">
        <v>146</v>
      </c>
      <c r="C18" s="209"/>
      <c r="D18" s="138"/>
      <c r="E18" s="139" t="s">
        <v>134</v>
      </c>
      <c r="F18" s="172" t="s">
        <v>131</v>
      </c>
      <c r="G18" s="173"/>
      <c r="H18" s="175"/>
      <c r="I18" s="172"/>
      <c r="J18" s="173" t="s">
        <v>131</v>
      </c>
      <c r="K18" s="176" t="s">
        <v>162</v>
      </c>
      <c r="L18" s="172" t="s">
        <v>131</v>
      </c>
      <c r="M18" s="141"/>
      <c r="N18" s="177"/>
      <c r="O18" s="172" t="s">
        <v>131</v>
      </c>
      <c r="P18" s="141"/>
      <c r="Q18" s="177"/>
      <c r="R18" s="172" t="s">
        <v>131</v>
      </c>
      <c r="S18" s="141"/>
      <c r="T18" s="143"/>
      <c r="U18" s="172" t="s">
        <v>131</v>
      </c>
      <c r="V18" s="141"/>
      <c r="W18" s="176"/>
      <c r="X18" s="172" t="s">
        <v>131</v>
      </c>
      <c r="Y18" s="141"/>
      <c r="Z18" s="143"/>
    </row>
    <row r="19" spans="1:26" ht="21.75" customHeight="1" thickBot="1">
      <c r="A19" s="137" t="s">
        <v>147</v>
      </c>
      <c r="B19" s="208" t="s">
        <v>148</v>
      </c>
      <c r="C19" s="209"/>
      <c r="D19" s="138" t="s">
        <v>134</v>
      </c>
      <c r="E19" s="139"/>
      <c r="F19" s="172" t="s">
        <v>131</v>
      </c>
      <c r="G19" s="173"/>
      <c r="H19" s="140"/>
      <c r="I19" s="172"/>
      <c r="J19" s="173"/>
      <c r="K19" s="142"/>
      <c r="L19" s="172" t="s">
        <v>131</v>
      </c>
      <c r="M19" s="141"/>
      <c r="N19" s="143"/>
      <c r="O19" s="172" t="s">
        <v>131</v>
      </c>
      <c r="P19" s="141"/>
      <c r="Q19" s="143"/>
      <c r="R19" s="172" t="s">
        <v>131</v>
      </c>
      <c r="S19" s="141"/>
      <c r="T19" s="143"/>
      <c r="U19" s="172" t="s">
        <v>131</v>
      </c>
      <c r="V19" s="141"/>
      <c r="W19" s="142"/>
      <c r="X19" s="172" t="s">
        <v>131</v>
      </c>
      <c r="Y19" s="141"/>
      <c r="Z19" s="143"/>
    </row>
    <row r="20" spans="1:26" ht="13.5" thickBot="1">
      <c r="A20" s="137" t="s">
        <v>149</v>
      </c>
      <c r="B20" s="208" t="s">
        <v>150</v>
      </c>
      <c r="C20" s="209"/>
      <c r="D20" s="138"/>
      <c r="E20" s="138" t="s">
        <v>134</v>
      </c>
      <c r="F20" s="172" t="s">
        <v>131</v>
      </c>
      <c r="G20" s="173"/>
      <c r="H20" s="140"/>
      <c r="I20" s="172"/>
      <c r="J20" s="173"/>
      <c r="K20" s="142"/>
      <c r="L20" s="172" t="s">
        <v>131</v>
      </c>
      <c r="M20" s="141"/>
      <c r="N20" s="143"/>
      <c r="O20" s="172" t="s">
        <v>131</v>
      </c>
      <c r="P20" s="141"/>
      <c r="Q20" s="143"/>
      <c r="R20" s="172" t="s">
        <v>131</v>
      </c>
      <c r="S20" s="141"/>
      <c r="T20" s="143"/>
      <c r="U20" s="172" t="s">
        <v>131</v>
      </c>
      <c r="V20" s="141"/>
      <c r="W20" s="142"/>
      <c r="X20" s="172" t="s">
        <v>131</v>
      </c>
      <c r="Y20" s="141"/>
      <c r="Z20" s="143"/>
    </row>
    <row r="21" spans="1:26" ht="13.5" thickBot="1">
      <c r="A21" s="137" t="s">
        <v>151</v>
      </c>
      <c r="B21" s="208" t="s">
        <v>152</v>
      </c>
      <c r="C21" s="209"/>
      <c r="D21" s="138" t="s">
        <v>134</v>
      </c>
      <c r="E21" s="139"/>
      <c r="F21" s="172" t="s">
        <v>131</v>
      </c>
      <c r="G21" s="173"/>
      <c r="H21" s="140"/>
      <c r="I21" s="172"/>
      <c r="J21" s="178"/>
      <c r="K21" s="176"/>
      <c r="L21" s="172" t="s">
        <v>131</v>
      </c>
      <c r="M21" s="141"/>
      <c r="N21" s="143"/>
      <c r="O21" s="172" t="s">
        <v>131</v>
      </c>
      <c r="P21" s="141"/>
      <c r="Q21" s="143"/>
      <c r="R21" s="172" t="s">
        <v>131</v>
      </c>
      <c r="S21" s="178"/>
      <c r="T21" s="143"/>
      <c r="U21" s="172" t="s">
        <v>131</v>
      </c>
      <c r="V21" s="141"/>
      <c r="W21" s="142"/>
      <c r="X21" s="172" t="s">
        <v>131</v>
      </c>
      <c r="Y21" s="141"/>
      <c r="Z21" s="143"/>
    </row>
    <row r="22" spans="1:26" ht="13.5" thickBot="1">
      <c r="A22" s="144"/>
      <c r="B22" s="208" t="s">
        <v>153</v>
      </c>
      <c r="C22" s="209"/>
      <c r="D22" s="138"/>
      <c r="E22" s="139"/>
      <c r="F22" s="172" t="s">
        <v>131</v>
      </c>
      <c r="G22" s="173"/>
      <c r="H22" s="140"/>
      <c r="I22" s="172"/>
      <c r="J22" s="178"/>
      <c r="K22" s="176"/>
      <c r="L22" s="172" t="s">
        <v>131</v>
      </c>
      <c r="M22" s="141"/>
      <c r="N22" s="143"/>
      <c r="O22" s="172" t="s">
        <v>131</v>
      </c>
      <c r="P22" s="141"/>
      <c r="Q22" s="143"/>
      <c r="R22" s="172" t="s">
        <v>131</v>
      </c>
      <c r="S22" s="178"/>
      <c r="T22" s="177"/>
      <c r="U22" s="172" t="s">
        <v>131</v>
      </c>
      <c r="V22" s="141"/>
      <c r="W22" s="179"/>
      <c r="X22" s="172" t="s">
        <v>131</v>
      </c>
      <c r="Y22" s="141"/>
      <c r="Z22" s="143"/>
    </row>
    <row r="23" spans="1:26" ht="13.5" thickBot="1">
      <c r="A23" s="145"/>
      <c r="B23" s="208" t="s">
        <v>154</v>
      </c>
      <c r="C23" s="209"/>
      <c r="D23" s="146"/>
      <c r="E23" s="147"/>
      <c r="F23" s="172" t="s">
        <v>131</v>
      </c>
      <c r="G23" s="148"/>
      <c r="H23" s="149"/>
      <c r="I23" s="172"/>
      <c r="J23" s="180" t="s">
        <v>131</v>
      </c>
      <c r="K23" s="181"/>
      <c r="L23" s="172" t="s">
        <v>131</v>
      </c>
      <c r="M23" s="150"/>
      <c r="N23" s="151"/>
      <c r="O23" s="172" t="s">
        <v>131</v>
      </c>
      <c r="P23" s="182"/>
      <c r="Q23" s="175"/>
      <c r="R23" s="172" t="s">
        <v>131</v>
      </c>
      <c r="S23" s="152"/>
      <c r="T23" s="153"/>
      <c r="U23" s="172" t="s">
        <v>131</v>
      </c>
      <c r="V23" s="172"/>
      <c r="W23" s="179"/>
      <c r="X23" s="184" t="s">
        <v>131</v>
      </c>
      <c r="Y23" s="150"/>
      <c r="Z23" s="151"/>
    </row>
    <row r="24" spans="1:26" ht="98.25" customHeight="1" thickBot="1">
      <c r="A24" s="210" t="s">
        <v>155</v>
      </c>
      <c r="B24" s="211"/>
      <c r="C24" s="211"/>
      <c r="D24" s="211"/>
      <c r="E24" s="212"/>
      <c r="F24" s="213"/>
      <c r="G24" s="214"/>
      <c r="H24" s="215"/>
      <c r="I24" s="195" t="s">
        <v>163</v>
      </c>
      <c r="J24" s="196"/>
      <c r="K24" s="197"/>
      <c r="L24" s="205"/>
      <c r="M24" s="206"/>
      <c r="N24" s="207"/>
      <c r="O24" s="205"/>
      <c r="P24" s="206"/>
      <c r="Q24" s="207"/>
      <c r="R24" s="205"/>
      <c r="S24" s="206"/>
      <c r="T24" s="207"/>
      <c r="U24" s="195"/>
      <c r="V24" s="196"/>
      <c r="W24" s="197"/>
      <c r="X24" s="195"/>
      <c r="Y24" s="196"/>
      <c r="Z24" s="197"/>
    </row>
    <row r="25" spans="1:26" ht="24" customHeight="1" thickBot="1">
      <c r="A25" s="198" t="s">
        <v>156</v>
      </c>
      <c r="B25" s="199"/>
      <c r="C25" s="199"/>
      <c r="D25" s="200"/>
      <c r="E25" s="201"/>
      <c r="F25" s="202" t="s">
        <v>165</v>
      </c>
      <c r="G25" s="203"/>
      <c r="H25" s="204"/>
      <c r="I25" s="192" t="s">
        <v>164</v>
      </c>
      <c r="J25" s="193"/>
      <c r="K25" s="193"/>
      <c r="L25" s="202" t="s">
        <v>165</v>
      </c>
      <c r="M25" s="203"/>
      <c r="N25" s="203"/>
      <c r="O25" s="202" t="s">
        <v>165</v>
      </c>
      <c r="P25" s="203"/>
      <c r="Q25" s="203"/>
      <c r="R25" s="202" t="s">
        <v>165</v>
      </c>
      <c r="S25" s="203"/>
      <c r="T25" s="203"/>
      <c r="U25" s="202" t="s">
        <v>165</v>
      </c>
      <c r="V25" s="203"/>
      <c r="W25" s="203"/>
      <c r="X25" s="192" t="s">
        <v>164</v>
      </c>
      <c r="Y25" s="193"/>
      <c r="Z25" s="194"/>
    </row>
    <row r="26" spans="1:26" ht="12.75">
      <c r="A26" s="154"/>
      <c r="B26" s="191"/>
      <c r="C26" s="191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</row>
    <row r="27" spans="1:26" ht="12.75">
      <c r="A27" s="154"/>
      <c r="B27" s="156" t="s">
        <v>170</v>
      </c>
      <c r="C27" s="155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</row>
    <row r="28" spans="1:26" ht="12.75">
      <c r="A28" s="154"/>
      <c r="B28" s="191"/>
      <c r="C28" s="191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</row>
  </sheetData>
  <sheetProtection password="CF11" sheet="1" objects="1" scenarios="1"/>
  <mergeCells count="54">
    <mergeCell ref="A1:Z1"/>
    <mergeCell ref="A2:Z2"/>
    <mergeCell ref="A3:Z3"/>
    <mergeCell ref="A4:Z4"/>
    <mergeCell ref="A5:Z5"/>
    <mergeCell ref="A6:Z6"/>
    <mergeCell ref="F8:H8"/>
    <mergeCell ref="I8:K8"/>
    <mergeCell ref="L8:N8"/>
    <mergeCell ref="O8:Q8"/>
    <mergeCell ref="R8:T8"/>
    <mergeCell ref="U8:W8"/>
    <mergeCell ref="X8:Z8"/>
    <mergeCell ref="U9:W9"/>
    <mergeCell ref="X9:Z9"/>
    <mergeCell ref="A9:A10"/>
    <mergeCell ref="B9:C10"/>
    <mergeCell ref="D9:E9"/>
    <mergeCell ref="F9:H9"/>
    <mergeCell ref="I9:K9"/>
    <mergeCell ref="L9:N9"/>
    <mergeCell ref="O9:Q9"/>
    <mergeCell ref="R9:T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F24:H24"/>
    <mergeCell ref="I24:K24"/>
    <mergeCell ref="U25:W25"/>
    <mergeCell ref="L24:N24"/>
    <mergeCell ref="O24:Q24"/>
    <mergeCell ref="R24:T24"/>
    <mergeCell ref="U24:W24"/>
    <mergeCell ref="B28:C28"/>
    <mergeCell ref="X25:Z25"/>
    <mergeCell ref="B26:C26"/>
    <mergeCell ref="X24:Z24"/>
    <mergeCell ref="A25:E25"/>
    <mergeCell ref="F25:H25"/>
    <mergeCell ref="I25:K25"/>
    <mergeCell ref="L25:N25"/>
    <mergeCell ref="O25:Q25"/>
    <mergeCell ref="R25:T2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zoomScalePageLayoutView="0" workbookViewId="0" topLeftCell="A1">
      <pane xSplit="1" topLeftCell="B1" activePane="topRight" state="frozen"/>
      <selection pane="topLeft" activeCell="B6" sqref="B6:C6"/>
      <selection pane="topRight" activeCell="B9" sqref="B9"/>
    </sheetView>
  </sheetViews>
  <sheetFormatPr defaultColWidth="11.421875" defaultRowHeight="12.75"/>
  <cols>
    <col min="1" max="1" width="52.421875" style="2" customWidth="1"/>
    <col min="2" max="2" width="15.8515625" style="0" customWidth="1"/>
    <col min="3" max="3" width="13.7109375" style="0" customWidth="1"/>
    <col min="4" max="4" width="5.7109375" style="0" customWidth="1"/>
    <col min="5" max="5" width="16.57421875" style="0" customWidth="1"/>
    <col min="6" max="6" width="14.28125" style="0" customWidth="1"/>
    <col min="7" max="7" width="5.7109375" style="0" customWidth="1"/>
    <col min="8" max="8" width="15.57421875" style="0" customWidth="1"/>
    <col min="9" max="9" width="18.00390625" style="0" customWidth="1"/>
    <col min="10" max="10" width="5.7109375" style="0" customWidth="1"/>
    <col min="11" max="11" width="16.57421875" style="0" customWidth="1"/>
    <col min="12" max="12" width="16.28125" style="0" customWidth="1"/>
    <col min="13" max="13" width="5.7109375" style="0" customWidth="1"/>
    <col min="14" max="14" width="17.28125" style="0" customWidth="1"/>
    <col min="15" max="15" width="13.7109375" style="0" customWidth="1"/>
    <col min="16" max="16" width="5.7109375" style="0" customWidth="1"/>
    <col min="17" max="17" width="17.8515625" style="0" customWidth="1"/>
    <col min="18" max="18" width="13.7109375" style="0" customWidth="1"/>
    <col min="19" max="19" width="5.7109375" style="0" customWidth="1"/>
    <col min="20" max="20" width="13.7109375" style="0" customWidth="1"/>
    <col min="21" max="21" width="14.140625" style="0" customWidth="1"/>
    <col min="22" max="22" width="5.7109375" style="0" customWidth="1"/>
    <col min="23" max="23" width="14.140625" style="0" customWidth="1"/>
    <col min="24" max="24" width="13.7109375" style="0" customWidth="1"/>
    <col min="25" max="25" width="5.7109375" style="0" customWidth="1"/>
  </cols>
  <sheetData>
    <row r="1" spans="1:25" ht="47.25" customHeight="1" thickBot="1">
      <c r="A1" s="81" t="s">
        <v>88</v>
      </c>
      <c r="B1" s="79"/>
      <c r="C1" s="79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39.5" customHeight="1">
      <c r="A2" s="82" t="s">
        <v>55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3.5" thickBot="1">
      <c r="A3" s="8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s="40" customFormat="1" ht="24.75" customHeight="1" thickBot="1">
      <c r="A4" s="72" t="s">
        <v>2</v>
      </c>
      <c r="B4" s="249">
        <v>1</v>
      </c>
      <c r="C4" s="250"/>
      <c r="D4" s="251"/>
      <c r="E4" s="249">
        <f>B4+1</f>
        <v>2</v>
      </c>
      <c r="F4" s="250"/>
      <c r="G4" s="251"/>
      <c r="H4" s="249">
        <f>+E4+1</f>
        <v>3</v>
      </c>
      <c r="I4" s="250"/>
      <c r="J4" s="251"/>
      <c r="K4" s="249">
        <f>+H4+1</f>
        <v>4</v>
      </c>
      <c r="L4" s="250"/>
      <c r="M4" s="251"/>
      <c r="N4" s="249">
        <f>+K4+1</f>
        <v>5</v>
      </c>
      <c r="O4" s="250"/>
      <c r="P4" s="251"/>
      <c r="Q4" s="249">
        <f>+N4+1</f>
        <v>6</v>
      </c>
      <c r="R4" s="250"/>
      <c r="S4" s="251"/>
      <c r="T4" s="232">
        <f>+Q4+1</f>
        <v>7</v>
      </c>
      <c r="U4" s="233"/>
      <c r="V4" s="233"/>
      <c r="W4" s="233"/>
      <c r="X4" s="233"/>
      <c r="Y4" s="234"/>
    </row>
    <row r="5" spans="1:25" ht="12.75" customHeight="1">
      <c r="A5" s="252" t="s">
        <v>3</v>
      </c>
      <c r="B5" s="238" t="s">
        <v>42</v>
      </c>
      <c r="C5" s="239"/>
      <c r="D5" s="255"/>
      <c r="E5" s="238" t="s">
        <v>43</v>
      </c>
      <c r="F5" s="239"/>
      <c r="G5" s="255"/>
      <c r="H5" s="238" t="s">
        <v>44</v>
      </c>
      <c r="I5" s="239"/>
      <c r="J5" s="255"/>
      <c r="K5" s="238" t="s">
        <v>45</v>
      </c>
      <c r="L5" s="239"/>
      <c r="M5" s="255"/>
      <c r="N5" s="238" t="s">
        <v>46</v>
      </c>
      <c r="O5" s="239"/>
      <c r="P5" s="255"/>
      <c r="Q5" s="238" t="s">
        <v>47</v>
      </c>
      <c r="R5" s="239"/>
      <c r="S5" s="255"/>
      <c r="T5" s="238" t="s">
        <v>48</v>
      </c>
      <c r="U5" s="239"/>
      <c r="V5" s="239"/>
      <c r="W5" s="239"/>
      <c r="X5" s="239"/>
      <c r="Y5" s="240"/>
    </row>
    <row r="6" spans="1:25" ht="13.5" thickBot="1">
      <c r="A6" s="253"/>
      <c r="B6" s="256"/>
      <c r="C6" s="257"/>
      <c r="D6" s="258"/>
      <c r="E6" s="256"/>
      <c r="F6" s="257"/>
      <c r="G6" s="258"/>
      <c r="H6" s="256"/>
      <c r="I6" s="257"/>
      <c r="J6" s="258"/>
      <c r="K6" s="256"/>
      <c r="L6" s="257"/>
      <c r="M6" s="258"/>
      <c r="N6" s="256"/>
      <c r="O6" s="257"/>
      <c r="P6" s="258"/>
      <c r="Q6" s="256"/>
      <c r="R6" s="257"/>
      <c r="S6" s="258"/>
      <c r="T6" s="241"/>
      <c r="U6" s="242"/>
      <c r="V6" s="242"/>
      <c r="W6" s="242"/>
      <c r="X6" s="242"/>
      <c r="Y6" s="243"/>
    </row>
    <row r="7" spans="1:25" ht="25.5" customHeight="1" thickBot="1">
      <c r="A7" s="254"/>
      <c r="B7" s="259"/>
      <c r="C7" s="260"/>
      <c r="D7" s="261"/>
      <c r="E7" s="259"/>
      <c r="F7" s="260"/>
      <c r="G7" s="261"/>
      <c r="H7" s="259"/>
      <c r="I7" s="260"/>
      <c r="J7" s="261"/>
      <c r="K7" s="259"/>
      <c r="L7" s="260"/>
      <c r="M7" s="261"/>
      <c r="N7" s="259"/>
      <c r="O7" s="260"/>
      <c r="P7" s="261"/>
      <c r="Q7" s="259"/>
      <c r="R7" s="260"/>
      <c r="S7" s="261"/>
      <c r="T7" s="244" t="s">
        <v>49</v>
      </c>
      <c r="U7" s="245"/>
      <c r="V7" s="245"/>
      <c r="W7" s="244" t="s">
        <v>50</v>
      </c>
      <c r="X7" s="245"/>
      <c r="Y7" s="245"/>
    </row>
    <row r="8" spans="1:25" ht="13.5" thickBot="1">
      <c r="A8" s="6" t="s">
        <v>0</v>
      </c>
      <c r="B8" s="64" t="s">
        <v>1</v>
      </c>
      <c r="C8" s="30" t="s">
        <v>18</v>
      </c>
      <c r="D8" s="30" t="s">
        <v>33</v>
      </c>
      <c r="E8" s="4" t="s">
        <v>1</v>
      </c>
      <c r="F8" s="5" t="s">
        <v>18</v>
      </c>
      <c r="G8" s="5" t="s">
        <v>33</v>
      </c>
      <c r="H8" s="4" t="s">
        <v>1</v>
      </c>
      <c r="I8" s="5" t="s">
        <v>18</v>
      </c>
      <c r="J8" s="5" t="s">
        <v>33</v>
      </c>
      <c r="K8" s="4" t="s">
        <v>1</v>
      </c>
      <c r="L8" s="5" t="s">
        <v>18</v>
      </c>
      <c r="M8" s="5" t="s">
        <v>33</v>
      </c>
      <c r="N8" s="4" t="s">
        <v>1</v>
      </c>
      <c r="O8" s="5" t="s">
        <v>18</v>
      </c>
      <c r="P8" s="5" t="s">
        <v>33</v>
      </c>
      <c r="Q8" s="4" t="s">
        <v>1</v>
      </c>
      <c r="R8" s="5" t="s">
        <v>18</v>
      </c>
      <c r="S8" s="5" t="s">
        <v>33</v>
      </c>
      <c r="T8" s="64" t="s">
        <v>1</v>
      </c>
      <c r="U8" s="30" t="s">
        <v>18</v>
      </c>
      <c r="V8" s="30" t="s">
        <v>33</v>
      </c>
      <c r="W8" s="64" t="s">
        <v>1</v>
      </c>
      <c r="X8" s="30" t="s">
        <v>18</v>
      </c>
      <c r="Y8" s="30" t="s">
        <v>33</v>
      </c>
    </row>
    <row r="9" spans="1:25" ht="108" customHeight="1">
      <c r="A9" s="61" t="s">
        <v>38</v>
      </c>
      <c r="B9" s="28" t="s">
        <v>53</v>
      </c>
      <c r="C9" s="67"/>
      <c r="D9" s="58" t="s">
        <v>33</v>
      </c>
      <c r="E9" s="28" t="s">
        <v>59</v>
      </c>
      <c r="F9" s="78"/>
      <c r="G9" s="58" t="s">
        <v>33</v>
      </c>
      <c r="H9" s="28" t="s">
        <v>65</v>
      </c>
      <c r="I9" s="74"/>
      <c r="J9" s="58" t="s">
        <v>33</v>
      </c>
      <c r="K9" s="28" t="s">
        <v>67</v>
      </c>
      <c r="L9" s="78"/>
      <c r="M9" s="58" t="s">
        <v>33</v>
      </c>
      <c r="N9" s="28" t="s">
        <v>71</v>
      </c>
      <c r="O9" s="74"/>
      <c r="P9" s="58" t="s">
        <v>33</v>
      </c>
      <c r="Q9" s="28" t="s">
        <v>75</v>
      </c>
      <c r="R9" s="74"/>
      <c r="S9" s="58" t="s">
        <v>33</v>
      </c>
      <c r="T9" s="28" t="s">
        <v>79</v>
      </c>
      <c r="U9" s="111" t="s">
        <v>87</v>
      </c>
      <c r="V9" s="58"/>
      <c r="W9" s="28" t="s">
        <v>84</v>
      </c>
      <c r="X9" s="111" t="s">
        <v>87</v>
      </c>
      <c r="Y9" s="58"/>
    </row>
    <row r="10" spans="1:25" ht="47.25" customHeight="1">
      <c r="A10" s="62" t="s">
        <v>35</v>
      </c>
      <c r="B10" s="68" t="s">
        <v>52</v>
      </c>
      <c r="C10" s="65"/>
      <c r="D10" s="56" t="s">
        <v>33</v>
      </c>
      <c r="E10" s="68" t="s">
        <v>60</v>
      </c>
      <c r="F10" s="77"/>
      <c r="G10" s="57" t="s">
        <v>33</v>
      </c>
      <c r="H10" s="68" t="s">
        <v>41</v>
      </c>
      <c r="I10" s="65"/>
      <c r="J10" s="57" t="s">
        <v>33</v>
      </c>
      <c r="K10" s="68" t="s">
        <v>68</v>
      </c>
      <c r="L10" s="65"/>
      <c r="M10" s="56" t="s">
        <v>33</v>
      </c>
      <c r="N10" s="68" t="s">
        <v>72</v>
      </c>
      <c r="O10" s="65"/>
      <c r="P10" s="56" t="s">
        <v>33</v>
      </c>
      <c r="Q10" s="68" t="s">
        <v>76</v>
      </c>
      <c r="R10" s="65"/>
      <c r="S10" s="57" t="s">
        <v>33</v>
      </c>
      <c r="T10" s="89" t="s">
        <v>83</v>
      </c>
      <c r="U10" s="87"/>
      <c r="V10" s="56" t="s">
        <v>33</v>
      </c>
      <c r="W10" s="89" t="s">
        <v>82</v>
      </c>
      <c r="X10" s="87"/>
      <c r="Y10" s="56" t="s">
        <v>33</v>
      </c>
    </row>
    <row r="11" spans="1:25" ht="63" customHeight="1">
      <c r="A11" s="62" t="s">
        <v>6</v>
      </c>
      <c r="B11" s="68" t="s">
        <v>51</v>
      </c>
      <c r="C11" s="66"/>
      <c r="D11" s="57" t="s">
        <v>33</v>
      </c>
      <c r="E11" s="68"/>
      <c r="F11" s="109" t="s">
        <v>86</v>
      </c>
      <c r="G11" s="57"/>
      <c r="H11" s="68"/>
      <c r="I11" s="109" t="s">
        <v>86</v>
      </c>
      <c r="J11" s="57"/>
      <c r="K11" s="68" t="s">
        <v>69</v>
      </c>
      <c r="L11" s="66"/>
      <c r="M11" s="57" t="s">
        <v>33</v>
      </c>
      <c r="N11" s="68" t="s">
        <v>73</v>
      </c>
      <c r="O11" s="65"/>
      <c r="P11" s="57" t="s">
        <v>33</v>
      </c>
      <c r="Q11" s="68" t="s">
        <v>77</v>
      </c>
      <c r="R11" s="65"/>
      <c r="S11" s="57" t="s">
        <v>33</v>
      </c>
      <c r="T11" s="90"/>
      <c r="U11" s="66" t="s">
        <v>80</v>
      </c>
      <c r="V11" s="107"/>
      <c r="W11" s="108" t="s">
        <v>85</v>
      </c>
      <c r="X11" s="66"/>
      <c r="Y11" s="57" t="s">
        <v>33</v>
      </c>
    </row>
    <row r="12" spans="1:25" ht="82.5" customHeight="1" thickBot="1">
      <c r="A12" s="63" t="s">
        <v>37</v>
      </c>
      <c r="B12" s="69" t="s">
        <v>54</v>
      </c>
      <c r="C12" s="70"/>
      <c r="D12" s="71" t="s">
        <v>33</v>
      </c>
      <c r="E12" s="69"/>
      <c r="F12" s="106" t="s">
        <v>61</v>
      </c>
      <c r="G12" s="71"/>
      <c r="H12" s="69" t="s">
        <v>66</v>
      </c>
      <c r="I12" s="70"/>
      <c r="J12" s="71" t="s">
        <v>33</v>
      </c>
      <c r="K12" s="69" t="s">
        <v>70</v>
      </c>
      <c r="L12" s="70"/>
      <c r="M12" s="71" t="s">
        <v>33</v>
      </c>
      <c r="N12" s="69" t="s">
        <v>74</v>
      </c>
      <c r="O12" s="70"/>
      <c r="P12" s="71" t="s">
        <v>33</v>
      </c>
      <c r="Q12" s="69" t="s">
        <v>78</v>
      </c>
      <c r="R12" s="70"/>
      <c r="S12" s="71" t="s">
        <v>33</v>
      </c>
      <c r="T12" s="69"/>
      <c r="U12" s="112" t="s">
        <v>81</v>
      </c>
      <c r="V12" s="110"/>
      <c r="W12" s="88"/>
      <c r="X12" s="112" t="s">
        <v>81</v>
      </c>
      <c r="Y12" s="71"/>
    </row>
    <row r="13" spans="1:25" s="37" customFormat="1" ht="24.75" customHeight="1" thickBot="1">
      <c r="A13" s="38" t="s">
        <v>4</v>
      </c>
      <c r="B13" s="246" t="str">
        <f>IF(B17=0,"CUMPLE","PENDIENTE")</f>
        <v>CUMPLE</v>
      </c>
      <c r="C13" s="247"/>
      <c r="D13" s="248"/>
      <c r="E13" s="235" t="str">
        <f>IF(E17=0,"CUMPLE","PENDIENTE")</f>
        <v>PENDIENTE</v>
      </c>
      <c r="F13" s="236"/>
      <c r="G13" s="237"/>
      <c r="H13" s="235" t="str">
        <f>IF(H17=0,"CUMPLE","PENDIENTE")</f>
        <v>PENDIENTE</v>
      </c>
      <c r="I13" s="236"/>
      <c r="J13" s="237"/>
      <c r="K13" s="235" t="str">
        <f>IF(K17=0,"CUMPLE","PENDIENTE")</f>
        <v>CUMPLE</v>
      </c>
      <c r="L13" s="236"/>
      <c r="M13" s="237"/>
      <c r="N13" s="235" t="str">
        <f>IF(N17=0,"CUMPLE","PENDIENTE")</f>
        <v>CUMPLE</v>
      </c>
      <c r="O13" s="236"/>
      <c r="P13" s="237"/>
      <c r="Q13" s="235" t="str">
        <f>IF(Q17=0,"CUMPLE","PENDIENTE")</f>
        <v>CUMPLE</v>
      </c>
      <c r="R13" s="236"/>
      <c r="S13" s="237"/>
      <c r="T13" s="235" t="str">
        <f>IF(T17=0,"CUMPLE","PENDIENTE")</f>
        <v>PENDIENTE</v>
      </c>
      <c r="U13" s="236"/>
      <c r="V13" s="237"/>
      <c r="W13" s="235" t="str">
        <f>IF(W17=0,"CUMPLE","PENDIENTE")</f>
        <v>PENDIENTE</v>
      </c>
      <c r="X13" s="236"/>
      <c r="Y13" s="237"/>
    </row>
    <row r="14" s="36" customFormat="1" ht="12.75">
      <c r="A14" s="156" t="s">
        <v>170</v>
      </c>
    </row>
    <row r="15" ht="12.75" hidden="1"/>
    <row r="16" spans="2:23" ht="12.75" hidden="1">
      <c r="B16" t="b">
        <f>AND(D9="OK",D10="OK",D11="OK",D12="OK")</f>
        <v>1</v>
      </c>
      <c r="E16" t="b">
        <f>AND(G9="OK",G10="OK",G11="OK",G12="OK")</f>
        <v>0</v>
      </c>
      <c r="H16" t="b">
        <f>AND(J9="OK",J10="OK",J11="OK",J12="OK")</f>
        <v>0</v>
      </c>
      <c r="K16" t="b">
        <f>AND(M9="OK",M10="OK",M11="OK",M12="OK")</f>
        <v>1</v>
      </c>
      <c r="N16" t="b">
        <f>AND(P9="OK",P10="OK",P11="OK",P12="OK")</f>
        <v>1</v>
      </c>
      <c r="Q16" t="b">
        <f>AND(S9="OK",S10="OK",S11="OK",S12="OK")</f>
        <v>1</v>
      </c>
      <c r="T16" t="b">
        <f>AND(V9="OK",V10="OK",V11="OK",V12="OK")</f>
        <v>0</v>
      </c>
      <c r="W16" t="b">
        <f>AND(Y9="OK",Y10="OK",Y11="OK",Y12="OK")</f>
        <v>0</v>
      </c>
    </row>
    <row r="17" spans="2:23" ht="12.75" hidden="1">
      <c r="B17">
        <f>IF(B16=FALSE,1,0)</f>
        <v>0</v>
      </c>
      <c r="E17">
        <f>IF(E16=FALSE,1,0)</f>
        <v>1</v>
      </c>
      <c r="H17">
        <f>IF(H16=FALSE,1,0)</f>
        <v>1</v>
      </c>
      <c r="K17">
        <f>IF(K16=FALSE,1,0)</f>
        <v>0</v>
      </c>
      <c r="N17">
        <f>IF(N16=FALSE,1,0)</f>
        <v>0</v>
      </c>
      <c r="Q17">
        <f>IF(Q16=FALSE,1,0)</f>
        <v>0</v>
      </c>
      <c r="T17">
        <f>IF(T16=FALSE,1,0)</f>
        <v>1</v>
      </c>
      <c r="W17">
        <f>IF(W16=FALSE,1,0)</f>
        <v>1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</sheetData>
  <sheetProtection password="CF11" sheet="1"/>
  <mergeCells count="25">
    <mergeCell ref="Q13:S13"/>
    <mergeCell ref="E13:G13"/>
    <mergeCell ref="H13:J13"/>
    <mergeCell ref="K13:M13"/>
    <mergeCell ref="N13:P13"/>
    <mergeCell ref="Q5:S7"/>
    <mergeCell ref="E4:G4"/>
    <mergeCell ref="H4:J4"/>
    <mergeCell ref="K4:M4"/>
    <mergeCell ref="N4:P4"/>
    <mergeCell ref="Q4:S4"/>
    <mergeCell ref="E5:G7"/>
    <mergeCell ref="H5:J7"/>
    <mergeCell ref="K5:M7"/>
    <mergeCell ref="N5:P7"/>
    <mergeCell ref="B13:D13"/>
    <mergeCell ref="B4:D4"/>
    <mergeCell ref="A5:A7"/>
    <mergeCell ref="B5:D7"/>
    <mergeCell ref="T4:Y4"/>
    <mergeCell ref="W13:Y13"/>
    <mergeCell ref="T5:Y6"/>
    <mergeCell ref="T7:V7"/>
    <mergeCell ref="W7:Y7"/>
    <mergeCell ref="T13:V13"/>
  </mergeCells>
  <conditionalFormatting sqref="B13 T13 Q13 E13 H13 K13 N13 W13">
    <cfRule type="expression" priority="1" dxfId="2" stopIfTrue="1">
      <formula>B17=1</formula>
    </cfRule>
  </conditionalFormatting>
  <printOptions horizontalCentered="1"/>
  <pageMargins left="0.1968503937007874" right="0.31496062992125984" top="1.1023622047244095" bottom="0.984251968503937" header="0" footer="0"/>
  <pageSetup fitToWidth="3" fitToHeight="1" horizontalDpi="200" verticalDpi="200" orientation="landscape" scale="77" r:id="rId1"/>
  <headerFooter alignWithMargins="0">
    <oddFooter>&amp;CEvaluación Convocatoria Pública 022 de 2008 &amp;RHoja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showGridLines="0" zoomScale="89" zoomScaleNormal="89" zoomScalePageLayoutView="0" workbookViewId="0" topLeftCell="A10">
      <pane xSplit="3" topLeftCell="U1" activePane="topRight" state="frozen"/>
      <selection pane="topLeft" activeCell="B6" sqref="B6:C6"/>
      <selection pane="topRight" activeCell="C17" sqref="C17"/>
    </sheetView>
  </sheetViews>
  <sheetFormatPr defaultColWidth="11.421875" defaultRowHeight="12.75"/>
  <cols>
    <col min="1" max="1" width="7.57421875" style="31" customWidth="1"/>
    <col min="2" max="2" width="39.57421875" style="2" customWidth="1"/>
    <col min="3" max="3" width="19.28125" style="2" customWidth="1"/>
    <col min="4" max="4" width="16.7109375" style="2" customWidth="1"/>
    <col min="5" max="22" width="16.140625" style="0" customWidth="1"/>
    <col min="23" max="23" width="16.8515625" style="0" customWidth="1"/>
    <col min="24" max="25" width="16.140625" style="0" customWidth="1"/>
  </cols>
  <sheetData>
    <row r="1" ht="12.75">
      <c r="A1" s="34" t="s">
        <v>5</v>
      </c>
    </row>
    <row r="4" ht="13.5" thickBot="1"/>
    <row r="5" spans="2:25" ht="54.75" customHeight="1">
      <c r="B5" s="289" t="str">
        <f>+'VERIFICACION DE LOS D. FINANCIE'!A1</f>
        <v>EVALUACIÓN FINANCIERA: CONVOCATORIA PUBLICA Nº 022 DE 2008</v>
      </c>
      <c r="C5" s="290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2:25" ht="76.5" customHeight="1" thickBot="1">
      <c r="B6" s="291" t="str">
        <f>+'VERIFICACION DE LOS D. FINANCIE'!A2</f>
        <v>OBJETO: SELECCIONAR LA MEJOR OFERTA  PARA CONTRATAR UN PROVEEDOR CALIFICADO  QUE EFECTUÉ EL SUMINISTRO E INSTALACIÓN  DE DIVISIONES MODULARES DE OFICINA ABIERTA Y DEMÁS ELEMENTOS PARA ADECUAR  ÁREAS ADMINISTRATIVAS, ACADÉMICAS Y FACULTADES DE LA UNIVERSIDAD DISTRITAL FRANCISCO JOSÉ DE CALDAS.</v>
      </c>
      <c r="C6" s="292"/>
      <c r="D6" s="101"/>
      <c r="E6" s="295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8" ht="13.5" thickBot="1"/>
    <row r="9" spans="1:25" s="42" customFormat="1" ht="24.75" customHeight="1" thickBot="1">
      <c r="A9" s="41"/>
      <c r="B9" s="293" t="s">
        <v>2</v>
      </c>
      <c r="C9" s="294"/>
      <c r="D9" s="263">
        <v>1</v>
      </c>
      <c r="E9" s="287"/>
      <c r="F9" s="288"/>
      <c r="G9" s="263">
        <f>+D9+1</f>
        <v>2</v>
      </c>
      <c r="H9" s="287"/>
      <c r="I9" s="288"/>
      <c r="J9" s="263">
        <f>+G9+1</f>
        <v>3</v>
      </c>
      <c r="K9" s="287"/>
      <c r="L9" s="288"/>
      <c r="M9" s="263">
        <f>+J9+1</f>
        <v>4</v>
      </c>
      <c r="N9" s="287"/>
      <c r="O9" s="288"/>
      <c r="P9" s="263">
        <f>+M9+1</f>
        <v>5</v>
      </c>
      <c r="Q9" s="287"/>
      <c r="R9" s="288"/>
      <c r="S9" s="263">
        <f>+P9+1</f>
        <v>6</v>
      </c>
      <c r="T9" s="287"/>
      <c r="U9" s="288"/>
      <c r="V9" s="263">
        <f>+S9+1</f>
        <v>7</v>
      </c>
      <c r="W9" s="264"/>
      <c r="X9" s="264"/>
      <c r="Y9" s="265"/>
    </row>
    <row r="10" spans="2:25" ht="12.75" customHeight="1">
      <c r="B10" s="238" t="s">
        <v>3</v>
      </c>
      <c r="C10" s="276"/>
      <c r="D10" s="238" t="str">
        <f>+'VERIFICACION DE LOS D. FINANCIE'!B5</f>
        <v>INDUMUEBLES HERNANDEZ LTDA.</v>
      </c>
      <c r="E10" s="239"/>
      <c r="F10" s="240"/>
      <c r="G10" s="238" t="str">
        <f>+'VERIFICACION DE LOS D. FINANCIE'!E5</f>
        <v>OFFICE WORK SYSTEM LTDA.</v>
      </c>
      <c r="H10" s="239"/>
      <c r="I10" s="240"/>
      <c r="J10" s="238" t="str">
        <f>+'VERIFICACION DE LOS D. FINANCIE'!H5</f>
        <v>IGM INGENIERIA LTDA.</v>
      </c>
      <c r="K10" s="239"/>
      <c r="L10" s="240"/>
      <c r="M10" s="238" t="str">
        <f>+'VERIFICACION DE LOS D. FINANCIE'!K5</f>
        <v>MODERLINE S.A.</v>
      </c>
      <c r="N10" s="239"/>
      <c r="O10" s="240"/>
      <c r="P10" s="238" t="str">
        <f>+'VERIFICACION DE LOS D. FINANCIE'!N5</f>
        <v>MUEBLES Y PLASTICOS S.A.</v>
      </c>
      <c r="Q10" s="239"/>
      <c r="R10" s="240"/>
      <c r="S10" s="238" t="str">
        <f>+'VERIFICACION DE LOS D. FINANCIE'!Q5</f>
        <v>HIMR &amp; CIA S.A.</v>
      </c>
      <c r="T10" s="239"/>
      <c r="U10" s="240"/>
      <c r="V10" s="238" t="str">
        <f>+'VERIFICACION DE LOS D. FINANCIE'!T5</f>
        <v>U. T. CRUZ HERMANOS</v>
      </c>
      <c r="W10" s="239"/>
      <c r="X10" s="239"/>
      <c r="Y10" s="240"/>
    </row>
    <row r="11" spans="2:25" ht="13.5" thickBot="1">
      <c r="B11" s="256"/>
      <c r="C11" s="277"/>
      <c r="D11" s="256"/>
      <c r="E11" s="257"/>
      <c r="F11" s="284"/>
      <c r="G11" s="256"/>
      <c r="H11" s="257"/>
      <c r="I11" s="284"/>
      <c r="J11" s="256"/>
      <c r="K11" s="257"/>
      <c r="L11" s="284"/>
      <c r="M11" s="256"/>
      <c r="N11" s="257"/>
      <c r="O11" s="284"/>
      <c r="P11" s="256"/>
      <c r="Q11" s="257"/>
      <c r="R11" s="284"/>
      <c r="S11" s="256"/>
      <c r="T11" s="257"/>
      <c r="U11" s="284"/>
      <c r="V11" s="84"/>
      <c r="W11" s="85"/>
      <c r="X11" s="85"/>
      <c r="Y11" s="86"/>
    </row>
    <row r="12" spans="2:25" ht="26.25" thickBot="1">
      <c r="B12" s="259"/>
      <c r="C12" s="278"/>
      <c r="D12" s="241"/>
      <c r="E12" s="242"/>
      <c r="F12" s="243"/>
      <c r="G12" s="241"/>
      <c r="H12" s="242"/>
      <c r="I12" s="243"/>
      <c r="J12" s="241"/>
      <c r="K12" s="242"/>
      <c r="L12" s="243"/>
      <c r="M12" s="241"/>
      <c r="N12" s="242"/>
      <c r="O12" s="243"/>
      <c r="P12" s="241"/>
      <c r="Q12" s="242"/>
      <c r="R12" s="243"/>
      <c r="S12" s="241"/>
      <c r="T12" s="242"/>
      <c r="U12" s="243"/>
      <c r="V12" s="96" t="str">
        <f>+'VERIFICACION DE LOS D. FINANCIE'!T7</f>
        <v>YESID GENARO CRUZ RAMIREZ</v>
      </c>
      <c r="W12" s="97" t="str">
        <f>+'VERIFICACION DE LOS D. FINANCIE'!W7</f>
        <v>RAUL ROGELIO CRUZ RAMIREZ</v>
      </c>
      <c r="X12" s="85"/>
      <c r="Y12" s="86"/>
    </row>
    <row r="13" spans="1:25" s="3" customFormat="1" ht="25.5" customHeight="1" thickBot="1">
      <c r="A13" s="1"/>
      <c r="B13" s="244" t="s">
        <v>10</v>
      </c>
      <c r="C13" s="279"/>
      <c r="D13" s="285" t="s">
        <v>11</v>
      </c>
      <c r="E13" s="286"/>
      <c r="F13" s="279"/>
      <c r="G13" s="285" t="s">
        <v>11</v>
      </c>
      <c r="H13" s="286"/>
      <c r="I13" s="279"/>
      <c r="J13" s="285" t="s">
        <v>11</v>
      </c>
      <c r="K13" s="286"/>
      <c r="L13" s="279"/>
      <c r="M13" s="285" t="s">
        <v>11</v>
      </c>
      <c r="N13" s="286"/>
      <c r="O13" s="279"/>
      <c r="P13" s="285" t="s">
        <v>11</v>
      </c>
      <c r="Q13" s="286"/>
      <c r="R13" s="279"/>
      <c r="S13" s="285" t="s">
        <v>11</v>
      </c>
      <c r="T13" s="286"/>
      <c r="U13" s="279"/>
      <c r="V13" s="103">
        <v>0.5</v>
      </c>
      <c r="W13" s="91">
        <v>0.5</v>
      </c>
      <c r="X13" s="92"/>
      <c r="Y13" s="93"/>
    </row>
    <row r="14" spans="2:25" ht="13.5" thickBot="1">
      <c r="B14" s="7" t="s">
        <v>0</v>
      </c>
      <c r="C14" s="12" t="s">
        <v>12</v>
      </c>
      <c r="D14" s="7" t="s">
        <v>8</v>
      </c>
      <c r="E14" s="13" t="s">
        <v>7</v>
      </c>
      <c r="F14" s="14" t="s">
        <v>9</v>
      </c>
      <c r="G14" s="7" t="s">
        <v>8</v>
      </c>
      <c r="H14" s="29" t="s">
        <v>7</v>
      </c>
      <c r="I14" s="30" t="s">
        <v>9</v>
      </c>
      <c r="J14" s="7" t="s">
        <v>8</v>
      </c>
      <c r="K14" s="29" t="s">
        <v>7</v>
      </c>
      <c r="L14" s="30" t="s">
        <v>9</v>
      </c>
      <c r="M14" s="7" t="s">
        <v>8</v>
      </c>
      <c r="N14" s="29" t="s">
        <v>7</v>
      </c>
      <c r="O14" s="30" t="s">
        <v>9</v>
      </c>
      <c r="P14" s="7" t="s">
        <v>8</v>
      </c>
      <c r="Q14" s="29" t="s">
        <v>7</v>
      </c>
      <c r="R14" s="30" t="s">
        <v>9</v>
      </c>
      <c r="S14" s="7" t="s">
        <v>8</v>
      </c>
      <c r="T14" s="29" t="s">
        <v>7</v>
      </c>
      <c r="U14" s="30" t="s">
        <v>9</v>
      </c>
      <c r="V14" s="6" t="s">
        <v>8</v>
      </c>
      <c r="W14" s="6" t="s">
        <v>8</v>
      </c>
      <c r="X14" s="29" t="s">
        <v>7</v>
      </c>
      <c r="Y14" s="30" t="s">
        <v>9</v>
      </c>
    </row>
    <row r="15" spans="1:25" ht="31.5" customHeight="1">
      <c r="A15" s="35">
        <v>0.7</v>
      </c>
      <c r="B15" s="280" t="s">
        <v>64</v>
      </c>
      <c r="C15" s="8" t="s">
        <v>13</v>
      </c>
      <c r="D15" s="27">
        <v>1705762</v>
      </c>
      <c r="E15" s="266">
        <f>+IF(D15="","",D15/D16)</f>
        <v>0.567438459598799</v>
      </c>
      <c r="F15" s="273" t="str">
        <f>IF(E15&lt;=$A15,"CUMPLE","NO CUMPLE")</f>
        <v>CUMPLE</v>
      </c>
      <c r="G15" s="27">
        <v>655667.568</v>
      </c>
      <c r="H15" s="266">
        <f>+IF(G15="","",G15/G16)</f>
        <v>0.8131197594834246</v>
      </c>
      <c r="I15" s="273" t="str">
        <f>+IF(H15&lt;=$A15,"CUMPLE","NO CUMPLE")</f>
        <v>NO CUMPLE</v>
      </c>
      <c r="J15" s="27">
        <v>1806782.563</v>
      </c>
      <c r="K15" s="266">
        <f>+IF(J15="","",J15/J16)</f>
        <v>0.3994830134478824</v>
      </c>
      <c r="L15" s="268" t="str">
        <f>+IF(K15&lt;=$A15,"CUMPLE","NO CUMPLE")</f>
        <v>CUMPLE</v>
      </c>
      <c r="M15" s="27">
        <v>3880265.818</v>
      </c>
      <c r="N15" s="266">
        <f>+IF(M15="","",M15/M16)</f>
        <v>0.6514328506098288</v>
      </c>
      <c r="O15" s="273" t="str">
        <f>+IF(N15&lt;=$A15,"CUMPLE","NO CUMPLE")</f>
        <v>CUMPLE</v>
      </c>
      <c r="P15" s="27">
        <v>4164316.786</v>
      </c>
      <c r="Q15" s="266">
        <f>+IF(P15="","",P15/P16)</f>
        <v>0.5355594348334838</v>
      </c>
      <c r="R15" s="273" t="str">
        <f>+IF(Q15&lt;=$A15,"CUMPLE","NO CUMPLE")</f>
        <v>CUMPLE</v>
      </c>
      <c r="S15" s="27">
        <v>617465</v>
      </c>
      <c r="T15" s="266">
        <f>+IF(S15="","",S15/S16)</f>
        <v>0.23832038482336082</v>
      </c>
      <c r="U15" s="268" t="str">
        <f>+IF(T15&lt;=$A15,"CUMPLE","NO CUMPLE")</f>
        <v>CUMPLE</v>
      </c>
      <c r="V15" s="27">
        <v>121951.822</v>
      </c>
      <c r="W15" s="94">
        <v>2604.294</v>
      </c>
      <c r="X15" s="266">
        <f>+IF(V15="","",(((V15*V13)+(W15*W13))/((V16*V13)+(W16*W13))))</f>
        <v>0.20239628686778924</v>
      </c>
      <c r="Y15" s="268" t="str">
        <f>IF(X15&lt;=$A15,"CUMPLE","NO CUMPLE")</f>
        <v>CUMPLE</v>
      </c>
    </row>
    <row r="16" spans="2:25" ht="31.5" customHeight="1" thickBot="1">
      <c r="B16" s="281"/>
      <c r="C16" s="9" t="s">
        <v>14</v>
      </c>
      <c r="D16" s="18">
        <v>3006074</v>
      </c>
      <c r="E16" s="267"/>
      <c r="F16" s="262"/>
      <c r="G16" s="18">
        <v>806360.392</v>
      </c>
      <c r="H16" s="267"/>
      <c r="I16" s="262"/>
      <c r="J16" s="18">
        <v>4522801.977</v>
      </c>
      <c r="K16" s="267"/>
      <c r="L16" s="269"/>
      <c r="M16" s="18">
        <v>5956509.277</v>
      </c>
      <c r="N16" s="267"/>
      <c r="O16" s="262"/>
      <c r="P16" s="18">
        <v>7775638.921</v>
      </c>
      <c r="Q16" s="267"/>
      <c r="R16" s="262"/>
      <c r="S16" s="18">
        <v>2590903</v>
      </c>
      <c r="T16" s="267"/>
      <c r="U16" s="269"/>
      <c r="V16" s="18">
        <v>284951.013</v>
      </c>
      <c r="W16" s="95">
        <v>330456.107</v>
      </c>
      <c r="X16" s="267"/>
      <c r="Y16" s="269"/>
    </row>
    <row r="17" spans="1:25" ht="31.5" customHeight="1">
      <c r="A17" s="35">
        <v>0.3</v>
      </c>
      <c r="B17" s="282" t="s">
        <v>63</v>
      </c>
      <c r="C17" s="10" t="s">
        <v>15</v>
      </c>
      <c r="D17" s="18">
        <v>2260787</v>
      </c>
      <c r="E17" s="270">
        <f>+IF(D17="","",D17-D18)</f>
        <v>1124129</v>
      </c>
      <c r="F17" s="262" t="str">
        <f>+IF(E17&gt;=D$33,"CUMPLE"," NO CUMPLE")</f>
        <v>CUMPLE</v>
      </c>
      <c r="G17" s="18">
        <v>710472.009</v>
      </c>
      <c r="H17" s="270">
        <f>+IF(G17="","",G17-G18)</f>
        <v>149550.8069999999</v>
      </c>
      <c r="I17" s="262" t="str">
        <f>+IF(H17&gt;=G$33,"CUMPLE"," NO CUMPLE")</f>
        <v>CUMPLE</v>
      </c>
      <c r="J17" s="18">
        <v>2769936.31</v>
      </c>
      <c r="K17" s="270">
        <f>+IF(J17="","",J17-J18)</f>
        <v>1441133.6160000002</v>
      </c>
      <c r="L17" s="269" t="str">
        <f>+IF(K17&gt;=G$33,"CUMPLE"," NO CUMPLE")</f>
        <v>CUMPLE</v>
      </c>
      <c r="M17" s="18">
        <v>4437432.868</v>
      </c>
      <c r="N17" s="270">
        <f>+IF(M17="","",M17-M18)</f>
        <v>1121143.9899999998</v>
      </c>
      <c r="O17" s="262" t="str">
        <f>+IF(N17&gt;=M$33,"CUMPLE"," NO CUMPLE")</f>
        <v>CUMPLE</v>
      </c>
      <c r="P17" s="18">
        <v>5064592.145</v>
      </c>
      <c r="Q17" s="270">
        <f>+IF(P17="","",P17-P18)</f>
        <v>1750275.3589999997</v>
      </c>
      <c r="R17" s="262" t="str">
        <f>+IF(Q17&gt;=P$33,"CUMPLE"," NO CUMPLE")</f>
        <v>CUMPLE</v>
      </c>
      <c r="S17" s="18">
        <v>2196216</v>
      </c>
      <c r="T17" s="270">
        <f>+IF(S17="","",S17-S18)</f>
        <v>1578751</v>
      </c>
      <c r="U17" s="269" t="str">
        <f>+IF(T17&gt;=S$33,"CUMPLE"," NO CUMPLE")</f>
        <v>CUMPLE</v>
      </c>
      <c r="V17" s="18">
        <v>153817.275</v>
      </c>
      <c r="W17" s="95">
        <v>228502.227</v>
      </c>
      <c r="X17" s="270">
        <f>+IF(V17="","",(((V17*V13)+(W17*W13))-((V18*V13)+(W18*W13))))</f>
        <v>151580.32249999998</v>
      </c>
      <c r="Y17" s="269" t="str">
        <f>+IF(X17&gt;=W$33,"CUMPLE"," NO CUMPLE")</f>
        <v>CUMPLE</v>
      </c>
    </row>
    <row r="18" spans="2:25" ht="31.5" customHeight="1" thickBot="1">
      <c r="B18" s="281"/>
      <c r="C18" s="11" t="s">
        <v>16</v>
      </c>
      <c r="D18" s="18">
        <v>1136658</v>
      </c>
      <c r="E18" s="270"/>
      <c r="F18" s="262"/>
      <c r="G18" s="18">
        <v>560921.202</v>
      </c>
      <c r="H18" s="270"/>
      <c r="I18" s="262"/>
      <c r="J18" s="18">
        <v>1328802.694</v>
      </c>
      <c r="K18" s="270"/>
      <c r="L18" s="269"/>
      <c r="M18" s="18">
        <v>3316288.878</v>
      </c>
      <c r="N18" s="270"/>
      <c r="O18" s="262"/>
      <c r="P18" s="18">
        <v>3314316.786</v>
      </c>
      <c r="Q18" s="270"/>
      <c r="R18" s="262"/>
      <c r="S18" s="75">
        <v>617465</v>
      </c>
      <c r="T18" s="270"/>
      <c r="U18" s="269"/>
      <c r="V18" s="18">
        <v>76554.857</v>
      </c>
      <c r="W18" s="95">
        <v>2604</v>
      </c>
      <c r="X18" s="270"/>
      <c r="Y18" s="269"/>
    </row>
    <row r="19" spans="1:25" ht="31.5" customHeight="1">
      <c r="A19" s="31">
        <v>1.3</v>
      </c>
      <c r="B19" s="283" t="s">
        <v>62</v>
      </c>
      <c r="C19" s="10" t="s">
        <v>15</v>
      </c>
      <c r="D19" s="18">
        <f>+D17</f>
        <v>2260787</v>
      </c>
      <c r="E19" s="271">
        <f>+IF(D19="","",D19/D20)</f>
        <v>1.988977335311061</v>
      </c>
      <c r="F19" s="262" t="str">
        <f>+IF(E19&gt;=$A$19,"CUMPLE","NO CUMPLE")</f>
        <v>CUMPLE</v>
      </c>
      <c r="G19" s="18">
        <f>+G17</f>
        <v>710472.009</v>
      </c>
      <c r="H19" s="271">
        <f>+IF(G19="","",G19/G20)</f>
        <v>1.2666164275245204</v>
      </c>
      <c r="I19" s="262" t="str">
        <f>+IF(H19&gt;=$A$19,"CUMPLE","NO CUMPLE")</f>
        <v>NO CUMPLE</v>
      </c>
      <c r="J19" s="18">
        <f>+J17</f>
        <v>2769936.31</v>
      </c>
      <c r="K19" s="271">
        <f>+IF(J19="","",J19/J20)</f>
        <v>2.0845354411962083</v>
      </c>
      <c r="L19" s="269" t="str">
        <f>+IF(K19&gt;=$A$19,"CUMPLE","NO CUMPLE")</f>
        <v>CUMPLE</v>
      </c>
      <c r="M19" s="18">
        <f>+M17</f>
        <v>4437432.868</v>
      </c>
      <c r="N19" s="271">
        <f>+IF(M19="","",M19/M20)</f>
        <v>1.3380718722779492</v>
      </c>
      <c r="O19" s="262" t="str">
        <f>+IF(N19&gt;=$A$19,"CUMPLE","NO CUMPLE")</f>
        <v>CUMPLE</v>
      </c>
      <c r="P19" s="18">
        <f>+P17</f>
        <v>5064592.145</v>
      </c>
      <c r="Q19" s="271">
        <f>+IF(P19="","",P19/P20)</f>
        <v>1.5280953728965605</v>
      </c>
      <c r="R19" s="262" t="str">
        <f>+IF(Q19&gt;=$A$19,"CUMPLE","NO CUMPLE")</f>
        <v>CUMPLE</v>
      </c>
      <c r="S19" s="18">
        <f>+S17</f>
        <v>2196216</v>
      </c>
      <c r="T19" s="271">
        <f>+IF(S19="","",S19/S20)</f>
        <v>3.55682670272809</v>
      </c>
      <c r="U19" s="269" t="str">
        <f>+IF(T19&gt;=$A$19,"CUMPLE","NO CUMPLE")</f>
        <v>CUMPLE</v>
      </c>
      <c r="V19" s="18">
        <f>+V17</f>
        <v>153817.275</v>
      </c>
      <c r="W19" s="95">
        <f>+W17</f>
        <v>228502.227</v>
      </c>
      <c r="X19" s="271">
        <f>+IF(V19="","",(((V19*V13)+(W19*W13))/((V20*V13)+(W20*W13))))</f>
        <v>4.829775422351032</v>
      </c>
      <c r="Y19" s="269" t="str">
        <f>+IF(X19&gt;=$A19,"CUMPLE","NO CUMPLE")</f>
        <v>CUMPLE</v>
      </c>
    </row>
    <row r="20" spans="2:25" ht="31.5" customHeight="1" thickBot="1">
      <c r="B20" s="281"/>
      <c r="C20" s="11" t="s">
        <v>16</v>
      </c>
      <c r="D20" s="18">
        <f>+D18</f>
        <v>1136658</v>
      </c>
      <c r="E20" s="271"/>
      <c r="F20" s="262"/>
      <c r="G20" s="18">
        <f>+G18</f>
        <v>560921.202</v>
      </c>
      <c r="H20" s="271"/>
      <c r="I20" s="262"/>
      <c r="J20" s="76">
        <f>+J18</f>
        <v>1328802.694</v>
      </c>
      <c r="K20" s="272"/>
      <c r="L20" s="269"/>
      <c r="M20" s="76">
        <f>+M18</f>
        <v>3316288.878</v>
      </c>
      <c r="N20" s="272"/>
      <c r="O20" s="262"/>
      <c r="P20" s="18">
        <f>+P18</f>
        <v>3314316.786</v>
      </c>
      <c r="Q20" s="271"/>
      <c r="R20" s="262"/>
      <c r="S20" s="76">
        <f>+S18</f>
        <v>617465</v>
      </c>
      <c r="T20" s="272"/>
      <c r="U20" s="269"/>
      <c r="V20" s="76">
        <f>+V18</f>
        <v>76554.857</v>
      </c>
      <c r="W20" s="102">
        <f>+W18</f>
        <v>2604</v>
      </c>
      <c r="X20" s="272"/>
      <c r="Y20" s="274"/>
    </row>
    <row r="21" spans="1:25" ht="31.5" customHeight="1">
      <c r="A21" s="31">
        <v>1.5</v>
      </c>
      <c r="B21" s="297" t="s">
        <v>56</v>
      </c>
      <c r="C21" s="104" t="s">
        <v>58</v>
      </c>
      <c r="D21" s="18">
        <f>+D29/1000</f>
        <v>480000</v>
      </c>
      <c r="E21" s="271">
        <f>+IF(D21="","",D21/D22)</f>
        <v>0.36914217510874314</v>
      </c>
      <c r="F21" s="269" t="str">
        <f>+IF(E21&lt;=$A$21,"CUMPLE","NO CUMPLE")</f>
        <v>CUMPLE</v>
      </c>
      <c r="G21" s="18">
        <f>+G29/1000</f>
        <v>480000</v>
      </c>
      <c r="H21" s="271">
        <f>+IF(G21="","",G21/G22)</f>
        <v>3.185287708192395</v>
      </c>
      <c r="I21" s="269" t="str">
        <f>+IF(H21&lt;=$A$21,"CUMPLE","NO CUMPLE")</f>
        <v>NO CUMPLE</v>
      </c>
      <c r="J21" s="18">
        <f>+J29/1000</f>
        <v>480000</v>
      </c>
      <c r="K21" s="271">
        <f>+IF(J21="","",J21/J22)</f>
        <v>0.17672922274627012</v>
      </c>
      <c r="L21" s="269" t="str">
        <f>+IF(K21&lt;=$A$21,"CUMPLE","NO CUMPLE")</f>
        <v>CUMPLE</v>
      </c>
      <c r="M21" s="18">
        <f>+M29/1000</f>
        <v>480000</v>
      </c>
      <c r="N21" s="271">
        <f>+IF(M21="","",M21/M22)</f>
        <v>0.23118676083930292</v>
      </c>
      <c r="O21" s="269" t="str">
        <f>+IF(N21&lt;=$A$21,"CUMPLE","NO CUMPLE")</f>
        <v>CUMPLE</v>
      </c>
      <c r="P21" s="18">
        <f>+P29/1000</f>
        <v>480000</v>
      </c>
      <c r="Q21" s="271">
        <f>+IF(P21="","",P21/P22)</f>
        <v>0.1329153097000027</v>
      </c>
      <c r="R21" s="269" t="str">
        <f>+IF(Q21&lt;=$A$21,"CUMPLE","NO CUMPLE")</f>
        <v>CUMPLE</v>
      </c>
      <c r="S21" s="18">
        <f>+S29/1000</f>
        <v>480000</v>
      </c>
      <c r="T21" s="271">
        <f>+IF(S21="","",S21/S22)</f>
        <v>0.24323034217441844</v>
      </c>
      <c r="U21" s="269" t="str">
        <f>+IF(T21&lt;=$A$21,"CUMPLE","NO CUMPLE")</f>
        <v>CUMPLE</v>
      </c>
      <c r="V21" s="18">
        <f>+W31/1000</f>
        <v>480000</v>
      </c>
      <c r="W21" s="95">
        <f>+W31/1000</f>
        <v>480000</v>
      </c>
      <c r="X21" s="271">
        <f>+IF(V21="","",(((V21*V13)+(W21*W13))/((V22*V13)+(W22*W13))))</f>
        <v>1.9557869744114855</v>
      </c>
      <c r="Y21" s="269" t="str">
        <f>+IF(X21&lt;=$A21,"CUMPLE","NO CUMPLE")</f>
        <v>NO CUMPLE</v>
      </c>
    </row>
    <row r="22" spans="2:25" ht="31.5" customHeight="1" thickBot="1">
      <c r="B22" s="281"/>
      <c r="C22" s="105" t="s">
        <v>57</v>
      </c>
      <c r="D22" s="76">
        <f>+D16-D15</f>
        <v>1300312</v>
      </c>
      <c r="E22" s="272"/>
      <c r="F22" s="274"/>
      <c r="G22" s="76">
        <f>+G16-G15</f>
        <v>150692.82400000002</v>
      </c>
      <c r="H22" s="272"/>
      <c r="I22" s="274"/>
      <c r="J22" s="76">
        <f>+J16-J15</f>
        <v>2716019.414</v>
      </c>
      <c r="K22" s="272"/>
      <c r="L22" s="274"/>
      <c r="M22" s="76">
        <f>+M16-M15</f>
        <v>2076243.4589999998</v>
      </c>
      <c r="N22" s="272"/>
      <c r="O22" s="274"/>
      <c r="P22" s="76">
        <f>+P16-P15</f>
        <v>3611322.1350000002</v>
      </c>
      <c r="Q22" s="272"/>
      <c r="R22" s="274"/>
      <c r="S22" s="76">
        <f>+S16-S15</f>
        <v>1973438</v>
      </c>
      <c r="T22" s="272"/>
      <c r="U22" s="274"/>
      <c r="V22" s="76">
        <f>+V16-V15</f>
        <v>162999.191</v>
      </c>
      <c r="W22" s="102">
        <f>+W16-W15</f>
        <v>327851.813</v>
      </c>
      <c r="X22" s="272"/>
      <c r="Y22" s="274"/>
    </row>
    <row r="23" spans="2:25" ht="27" customHeight="1" thickBot="1">
      <c r="B23" s="39" t="s">
        <v>4</v>
      </c>
      <c r="C23" s="39"/>
      <c r="D23" s="244" t="str">
        <f>IF(F36=TRUE,"CUMPLE","NO CUMPLE")</f>
        <v>CUMPLE</v>
      </c>
      <c r="E23" s="245"/>
      <c r="F23" s="275"/>
      <c r="G23" s="244" t="str">
        <f>IF(I36=TRUE,"CUMPLE","NO CUMPLE")</f>
        <v>NO CUMPLE</v>
      </c>
      <c r="H23" s="245"/>
      <c r="I23" s="275"/>
      <c r="J23" s="244" t="str">
        <f>IF(L36=TRUE,"CUMPLE","NO CUMPLE")</f>
        <v>CUMPLE</v>
      </c>
      <c r="K23" s="245"/>
      <c r="L23" s="275"/>
      <c r="M23" s="244" t="str">
        <f>IF(O36=TRUE,"CUMPLE","NO CUMPLE")</f>
        <v>CUMPLE</v>
      </c>
      <c r="N23" s="245"/>
      <c r="O23" s="275"/>
      <c r="P23" s="244" t="str">
        <f>IF(R36=TRUE,"CUMPLE","NO CUMPLE")</f>
        <v>CUMPLE</v>
      </c>
      <c r="Q23" s="245"/>
      <c r="R23" s="275"/>
      <c r="S23" s="244" t="str">
        <f>IF(U36=TRUE,"CUMPLE","NO CUMPLE")</f>
        <v>CUMPLE</v>
      </c>
      <c r="T23" s="245"/>
      <c r="U23" s="275"/>
      <c r="V23" s="244" t="str">
        <f>IF(Y36=TRUE,"CUMPLE","NO CUMPLE")</f>
        <v>NO CUMPLE</v>
      </c>
      <c r="W23" s="245"/>
      <c r="X23" s="245"/>
      <c r="Y23" s="275"/>
    </row>
    <row r="25" spans="2:25" ht="16.5">
      <c r="B25" s="54"/>
      <c r="C25" s="55"/>
      <c r="D25" s="45"/>
      <c r="E25" s="46"/>
      <c r="F25" s="46"/>
      <c r="G25" s="48"/>
      <c r="H25" s="46"/>
      <c r="I25" s="46"/>
      <c r="J25" s="49"/>
      <c r="K25" s="46"/>
      <c r="L25" s="46"/>
      <c r="M25" s="50"/>
      <c r="N25" s="46"/>
      <c r="O25" s="46"/>
      <c r="P25" s="50"/>
      <c r="Q25" s="46"/>
      <c r="R25" s="46"/>
      <c r="S25" s="50"/>
      <c r="T25" s="46"/>
      <c r="U25" s="46"/>
      <c r="V25" s="46"/>
      <c r="W25" s="46"/>
      <c r="X25" s="46"/>
      <c r="Y25" s="46"/>
    </row>
    <row r="26" spans="2:25" ht="16.5">
      <c r="B26" s="54"/>
      <c r="C26" s="55"/>
      <c r="D26" s="45"/>
      <c r="E26" s="46"/>
      <c r="F26" s="46"/>
      <c r="G26" s="48"/>
      <c r="H26" s="46"/>
      <c r="I26" s="46"/>
      <c r="J26" s="49"/>
      <c r="K26" s="46"/>
      <c r="L26" s="46"/>
      <c r="M26" s="50"/>
      <c r="N26" s="46"/>
      <c r="O26" s="46"/>
      <c r="P26" s="50"/>
      <c r="Q26" s="46"/>
      <c r="R26" s="46"/>
      <c r="S26" s="50"/>
      <c r="T26" s="46"/>
      <c r="U26" s="46"/>
      <c r="V26" s="46"/>
      <c r="W26" s="46"/>
      <c r="X26" s="46"/>
      <c r="Y26" s="46"/>
    </row>
    <row r="27" spans="2:25" ht="15">
      <c r="B27" s="59" t="s">
        <v>36</v>
      </c>
      <c r="C27" s="60">
        <v>480000000</v>
      </c>
      <c r="D27" s="45"/>
      <c r="E27" s="46"/>
      <c r="F27" s="46"/>
      <c r="G27" s="48"/>
      <c r="H27" s="46"/>
      <c r="I27" s="46"/>
      <c r="J27" s="49"/>
      <c r="K27" s="46"/>
      <c r="L27" s="46"/>
      <c r="M27" s="50"/>
      <c r="N27" s="46"/>
      <c r="O27" s="46"/>
      <c r="P27" s="50"/>
      <c r="Q27" s="46"/>
      <c r="R27" s="46"/>
      <c r="S27" s="50"/>
      <c r="T27" s="46"/>
      <c r="U27" s="46"/>
      <c r="V27" s="46"/>
      <c r="W27" s="46"/>
      <c r="X27" s="46"/>
      <c r="Y27" s="46"/>
    </row>
    <row r="28" spans="2:25" ht="16.5" hidden="1">
      <c r="B28" s="54"/>
      <c r="C28" s="55"/>
      <c r="D28" s="45"/>
      <c r="E28" s="46"/>
      <c r="F28" s="46"/>
      <c r="G28" s="47"/>
      <c r="H28" s="46"/>
      <c r="I28" s="46"/>
      <c r="J28" s="47"/>
      <c r="K28" s="46"/>
      <c r="L28" s="46"/>
      <c r="M28" s="47"/>
      <c r="N28" s="46"/>
      <c r="O28" s="46"/>
      <c r="P28" s="47"/>
      <c r="Q28" s="46"/>
      <c r="R28" s="46"/>
      <c r="S28" s="47"/>
      <c r="T28" s="46"/>
      <c r="U28" s="46"/>
      <c r="V28" s="46"/>
      <c r="W28" s="46"/>
      <c r="X28" s="46"/>
      <c r="Y28" s="46"/>
    </row>
    <row r="29" spans="2:25" ht="12.75" hidden="1">
      <c r="B29" s="59" t="s">
        <v>39</v>
      </c>
      <c r="D29" s="98">
        <f>+$C$27</f>
        <v>480000000</v>
      </c>
      <c r="E29" s="51"/>
      <c r="F29" s="51"/>
      <c r="G29" s="98">
        <f>+$C$27</f>
        <v>480000000</v>
      </c>
      <c r="H29" s="51"/>
      <c r="I29" s="51"/>
      <c r="J29" s="98">
        <f>+$C$27</f>
        <v>480000000</v>
      </c>
      <c r="K29" s="51"/>
      <c r="L29" s="51"/>
      <c r="M29" s="98">
        <f>+$C$27</f>
        <v>480000000</v>
      </c>
      <c r="N29" s="51"/>
      <c r="O29" s="51"/>
      <c r="P29" s="98">
        <f>+$C$27</f>
        <v>480000000</v>
      </c>
      <c r="Q29" s="51"/>
      <c r="R29" s="51"/>
      <c r="S29" s="98">
        <f>+$C$27</f>
        <v>480000000</v>
      </c>
      <c r="T29" s="51"/>
      <c r="U29" s="51"/>
      <c r="V29" s="51"/>
      <c r="W29" s="98">
        <f>+C27</f>
        <v>480000000</v>
      </c>
      <c r="X29" s="51"/>
      <c r="Y29" s="51"/>
    </row>
    <row r="30" spans="2:25" ht="12.75" hidden="1">
      <c r="B30" s="44"/>
      <c r="C30" s="44"/>
      <c r="D30" s="44"/>
      <c r="E30" s="46"/>
      <c r="F30" s="46"/>
      <c r="G30" s="44"/>
      <c r="H30" s="46"/>
      <c r="I30" s="46"/>
      <c r="J30" s="44"/>
      <c r="K30" s="46"/>
      <c r="L30" s="46"/>
      <c r="M30" s="44"/>
      <c r="N30" s="46"/>
      <c r="O30" s="46"/>
      <c r="P30" s="44"/>
      <c r="Q30" s="46"/>
      <c r="R30" s="46"/>
      <c r="S30" s="44"/>
      <c r="T30" s="46"/>
      <c r="U30" s="46"/>
      <c r="V30" s="46"/>
      <c r="W30" s="44"/>
      <c r="X30" s="46"/>
      <c r="Y30" s="46"/>
    </row>
    <row r="31" spans="2:25" ht="12.75" hidden="1">
      <c r="B31" s="44"/>
      <c r="C31" s="44"/>
      <c r="D31" s="51">
        <f>+D29</f>
        <v>480000000</v>
      </c>
      <c r="E31" s="46"/>
      <c r="F31" s="52"/>
      <c r="G31" s="51">
        <f>+G29</f>
        <v>480000000</v>
      </c>
      <c r="H31" s="52"/>
      <c r="I31" s="52"/>
      <c r="J31" s="51">
        <f>+J29</f>
        <v>480000000</v>
      </c>
      <c r="K31" s="52"/>
      <c r="L31" s="52"/>
      <c r="M31" s="51">
        <f>+M29</f>
        <v>480000000</v>
      </c>
      <c r="N31" s="52"/>
      <c r="O31" s="52"/>
      <c r="P31" s="51">
        <f>+P29</f>
        <v>480000000</v>
      </c>
      <c r="Q31" s="52"/>
      <c r="R31" s="51"/>
      <c r="S31" s="51">
        <f>+S29</f>
        <v>480000000</v>
      </c>
      <c r="T31" s="52"/>
      <c r="U31" s="52"/>
      <c r="V31" s="51"/>
      <c r="W31" s="51">
        <f>+W29</f>
        <v>480000000</v>
      </c>
      <c r="X31" s="51"/>
      <c r="Y31" s="51"/>
    </row>
    <row r="32" spans="2:25" ht="12.75" hidden="1">
      <c r="B32" s="53">
        <f>+A17</f>
        <v>0.3</v>
      </c>
      <c r="C32" s="44"/>
      <c r="D32" s="52">
        <f>+D31*$B$32</f>
        <v>144000000</v>
      </c>
      <c r="E32" s="46"/>
      <c r="F32" s="52"/>
      <c r="G32" s="52">
        <f>+G31*$B$32</f>
        <v>144000000</v>
      </c>
      <c r="H32" s="52"/>
      <c r="I32" s="52"/>
      <c r="J32" s="52">
        <f>+J31*$B$32</f>
        <v>144000000</v>
      </c>
      <c r="K32" s="52"/>
      <c r="L32" s="52"/>
      <c r="M32" s="52">
        <f>+M31*$B$32</f>
        <v>144000000</v>
      </c>
      <c r="N32" s="52"/>
      <c r="O32" s="52"/>
      <c r="P32" s="52">
        <f>+P31*$B$32</f>
        <v>144000000</v>
      </c>
      <c r="Q32" s="52"/>
      <c r="R32" s="52"/>
      <c r="S32" s="52">
        <f>+S31*$B$32</f>
        <v>144000000</v>
      </c>
      <c r="T32" s="52"/>
      <c r="U32" s="52"/>
      <c r="V32" s="52"/>
      <c r="W32" s="52">
        <f>+W31*$B$32</f>
        <v>144000000</v>
      </c>
      <c r="X32" s="52"/>
      <c r="Y32" s="52"/>
    </row>
    <row r="33" spans="2:25" ht="18" customHeight="1" hidden="1">
      <c r="B33" s="43" t="s">
        <v>17</v>
      </c>
      <c r="C33" s="44"/>
      <c r="D33" s="52">
        <f>+D32/1000</f>
        <v>144000</v>
      </c>
      <c r="E33" s="46"/>
      <c r="F33" s="44"/>
      <c r="G33" s="52">
        <f>+G32/1000</f>
        <v>144000</v>
      </c>
      <c r="H33" s="44"/>
      <c r="I33" s="44"/>
      <c r="J33" s="52">
        <f>+J32/1000</f>
        <v>144000</v>
      </c>
      <c r="K33" s="44"/>
      <c r="L33" s="44"/>
      <c r="M33" s="52">
        <f>+M32/1000</f>
        <v>144000</v>
      </c>
      <c r="N33" s="44"/>
      <c r="O33" s="44"/>
      <c r="P33" s="52">
        <f>+P32/1000</f>
        <v>144000</v>
      </c>
      <c r="Q33" s="44"/>
      <c r="R33" s="44"/>
      <c r="S33" s="52">
        <f>+S32/1000</f>
        <v>144000</v>
      </c>
      <c r="T33" s="44"/>
      <c r="U33" s="44"/>
      <c r="V33" s="44"/>
      <c r="W33" s="52">
        <f>+W32/1000</f>
        <v>144000</v>
      </c>
      <c r="X33" s="44"/>
      <c r="Y33" s="44"/>
    </row>
    <row r="34" spans="2:25" ht="12.75" hidden="1">
      <c r="B34" s="44"/>
      <c r="C34" s="44"/>
      <c r="D34" s="44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2:25" ht="12.75" hidden="1">
      <c r="B35" s="44"/>
      <c r="C35" s="44"/>
      <c r="D35" s="4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2:25" ht="12.75" customHeight="1" hidden="1">
      <c r="B36" s="44"/>
      <c r="C36" s="44"/>
      <c r="D36" s="44"/>
      <c r="E36" s="46"/>
      <c r="F36" s="46" t="b">
        <f>AND(F15="CUMPLE",F17="CUMPLE",F19="CUMPLE",F21="CUMPLE")</f>
        <v>1</v>
      </c>
      <c r="G36" s="46"/>
      <c r="H36" s="46"/>
      <c r="I36" s="46" t="b">
        <f>AND(I15="CUMPLE",I17="CUMPLE",I19="CUMPLE",I21="CUMPLE")</f>
        <v>0</v>
      </c>
      <c r="J36" s="46"/>
      <c r="K36" s="46"/>
      <c r="L36" s="46" t="b">
        <f>AND(L15="CUMPLE",L17="CUMPLE",L19="CUMPLE",L21="CUMPLE")</f>
        <v>1</v>
      </c>
      <c r="M36" s="46"/>
      <c r="N36" s="46"/>
      <c r="O36" s="46" t="b">
        <f>AND(O15="CUMPLE",O17="CUMPLE",O19="CUMPLE",O21="CUMPLE")</f>
        <v>1</v>
      </c>
      <c r="P36" s="46"/>
      <c r="Q36" s="46"/>
      <c r="R36" s="46" t="b">
        <f>AND(R15="CUMPLE",R17="CUMPLE",R19="CUMPLE",R21="CUMPLE")</f>
        <v>1</v>
      </c>
      <c r="S36" s="46"/>
      <c r="T36" s="46"/>
      <c r="U36" s="46" t="b">
        <f>AND(U15="CUMPLE",U17="CUMPLE",U19="CUMPLE",U21="CUMPLE")</f>
        <v>1</v>
      </c>
      <c r="V36" s="46"/>
      <c r="W36" s="46"/>
      <c r="X36" s="46"/>
      <c r="Y36" s="46" t="b">
        <f>AND(Y15="CUMPLE",Y17="CUMPLE",Y19="CUMPLE",Y21="CUMPLE")</f>
        <v>0</v>
      </c>
    </row>
    <row r="37" spans="2:25" ht="12.75" customHeight="1" hidden="1">
      <c r="B37" s="44"/>
      <c r="C37" s="44"/>
      <c r="D37" s="44"/>
      <c r="E37" s="46"/>
      <c r="F37" s="46">
        <f>IF(F36=TRUE,1,0)</f>
        <v>1</v>
      </c>
      <c r="G37" s="46"/>
      <c r="H37" s="46"/>
      <c r="I37" s="46">
        <f>IF(I36=TRUE,1,0)</f>
        <v>0</v>
      </c>
      <c r="J37" s="46"/>
      <c r="K37" s="46"/>
      <c r="L37" s="46">
        <f>IF(L36=TRUE,1,0)</f>
        <v>1</v>
      </c>
      <c r="M37" s="46"/>
      <c r="N37" s="46"/>
      <c r="O37" s="46">
        <f>IF(O36=TRUE,1,0)</f>
        <v>1</v>
      </c>
      <c r="P37" s="46"/>
      <c r="Q37" s="46"/>
      <c r="R37" s="46">
        <f>IF(R36=TRUE,1,0)</f>
        <v>1</v>
      </c>
      <c r="S37" s="46"/>
      <c r="T37" s="46"/>
      <c r="U37" s="46">
        <f>IF(U36=TRUE,1,0)</f>
        <v>1</v>
      </c>
      <c r="V37" s="46"/>
      <c r="W37" s="46"/>
      <c r="X37" s="46"/>
      <c r="Y37" s="46">
        <f>IF(Y36=TRUE,1,0)</f>
        <v>0</v>
      </c>
    </row>
    <row r="38" spans="2:25" ht="12.75" customHeight="1" hidden="1">
      <c r="B38" s="44"/>
      <c r="C38" s="44"/>
      <c r="D38" s="4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2:25" ht="12.75" hidden="1">
      <c r="B39" s="44"/>
      <c r="C39" s="44"/>
      <c r="D39" s="44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2:25" ht="12.75" hidden="1">
      <c r="B40" s="44"/>
      <c r="C40" s="44"/>
      <c r="D40" s="44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ht="12.75" hidden="1"/>
    <row r="42" ht="12.75" hidden="1"/>
    <row r="43" ht="12.75" hidden="1"/>
    <row r="44" spans="2:25" ht="15.75" hidden="1">
      <c r="B44" s="59" t="s">
        <v>40</v>
      </c>
      <c r="C44" s="21"/>
      <c r="D44" s="99">
        <f>+E17/30*100</f>
        <v>3747096.6666666665</v>
      </c>
      <c r="E44" s="100"/>
      <c r="F44" s="100"/>
      <c r="G44" s="99">
        <f>+H17/30*100</f>
        <v>498502.6899999997</v>
      </c>
      <c r="H44" s="100"/>
      <c r="I44" s="100"/>
      <c r="J44" s="99">
        <f>+K17/30*100</f>
        <v>4803778.720000001</v>
      </c>
      <c r="K44" s="100"/>
      <c r="L44" s="100"/>
      <c r="M44" s="99">
        <f>+N17/30*100</f>
        <v>3737146.6333333324</v>
      </c>
      <c r="N44" s="100"/>
      <c r="O44" s="100"/>
      <c r="P44" s="99">
        <f>+Q17/30*100</f>
        <v>5834251.196666665</v>
      </c>
      <c r="Q44" s="100"/>
      <c r="R44" s="100"/>
      <c r="S44" s="99">
        <f>+T17/30*100</f>
        <v>5262503.333333333</v>
      </c>
      <c r="T44" s="100"/>
      <c r="U44" s="100"/>
      <c r="V44" s="100"/>
      <c r="W44" s="99">
        <f>+X17/30*100</f>
        <v>505267.74166666664</v>
      </c>
      <c r="X44" s="100"/>
      <c r="Y44" s="100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spans="2:21" ht="12.75">
      <c r="B64" s="156"/>
      <c r="U64" s="156" t="s">
        <v>170</v>
      </c>
    </row>
  </sheetData>
  <sheetProtection password="CF11" sheet="1"/>
  <mergeCells count="93">
    <mergeCell ref="B21:B22"/>
    <mergeCell ref="E21:E22"/>
    <mergeCell ref="F21:F22"/>
    <mergeCell ref="H21:H22"/>
    <mergeCell ref="I21:I22"/>
    <mergeCell ref="K21:K22"/>
    <mergeCell ref="L21:L22"/>
    <mergeCell ref="N21:N22"/>
    <mergeCell ref="Y21:Y22"/>
    <mergeCell ref="G23:I23"/>
    <mergeCell ref="J23:L23"/>
    <mergeCell ref="M23:O23"/>
    <mergeCell ref="P23:R23"/>
    <mergeCell ref="S23:U23"/>
    <mergeCell ref="V23:Y23"/>
    <mergeCell ref="O21:O22"/>
    <mergeCell ref="Q21:Q22"/>
    <mergeCell ref="R21:R22"/>
    <mergeCell ref="T19:T20"/>
    <mergeCell ref="U19:U20"/>
    <mergeCell ref="U21:U22"/>
    <mergeCell ref="X21:X22"/>
    <mergeCell ref="T21:T22"/>
    <mergeCell ref="H19:H20"/>
    <mergeCell ref="I19:I20"/>
    <mergeCell ref="K19:K20"/>
    <mergeCell ref="L19:L20"/>
    <mergeCell ref="N19:N20"/>
    <mergeCell ref="O19:O20"/>
    <mergeCell ref="Q17:Q18"/>
    <mergeCell ref="R17:R18"/>
    <mergeCell ref="Q19:Q20"/>
    <mergeCell ref="R19:R20"/>
    <mergeCell ref="T17:T18"/>
    <mergeCell ref="U17:U18"/>
    <mergeCell ref="H17:H18"/>
    <mergeCell ref="I17:I18"/>
    <mergeCell ref="K17:K18"/>
    <mergeCell ref="L17:L18"/>
    <mergeCell ref="N17:N18"/>
    <mergeCell ref="O17:O18"/>
    <mergeCell ref="U15:U16"/>
    <mergeCell ref="H15:H16"/>
    <mergeCell ref="I15:I16"/>
    <mergeCell ref="K15:K16"/>
    <mergeCell ref="L15:L16"/>
    <mergeCell ref="N15:N16"/>
    <mergeCell ref="O15:O16"/>
    <mergeCell ref="Q15:Q16"/>
    <mergeCell ref="R15:R16"/>
    <mergeCell ref="T15:T16"/>
    <mergeCell ref="M10:O12"/>
    <mergeCell ref="P10:R12"/>
    <mergeCell ref="S10:U12"/>
    <mergeCell ref="G13:I13"/>
    <mergeCell ref="J13:L13"/>
    <mergeCell ref="M13:O13"/>
    <mergeCell ref="P13:R13"/>
    <mergeCell ref="B5:C5"/>
    <mergeCell ref="B6:C6"/>
    <mergeCell ref="B9:C9"/>
    <mergeCell ref="G9:I9"/>
    <mergeCell ref="E6:Y6"/>
    <mergeCell ref="D10:F12"/>
    <mergeCell ref="D13:F13"/>
    <mergeCell ref="S9:U9"/>
    <mergeCell ref="D9:F9"/>
    <mergeCell ref="J9:L9"/>
    <mergeCell ref="M9:O9"/>
    <mergeCell ref="P9:R9"/>
    <mergeCell ref="S13:U13"/>
    <mergeCell ref="G10:I12"/>
    <mergeCell ref="J10:L12"/>
    <mergeCell ref="D23:F23"/>
    <mergeCell ref="B10:C12"/>
    <mergeCell ref="B13:C13"/>
    <mergeCell ref="B15:B16"/>
    <mergeCell ref="B17:B18"/>
    <mergeCell ref="E15:E16"/>
    <mergeCell ref="B19:B20"/>
    <mergeCell ref="E19:E20"/>
    <mergeCell ref="E17:E18"/>
    <mergeCell ref="F17:F18"/>
    <mergeCell ref="F19:F20"/>
    <mergeCell ref="V9:Y9"/>
    <mergeCell ref="V10:Y10"/>
    <mergeCell ref="X15:X16"/>
    <mergeCell ref="Y15:Y16"/>
    <mergeCell ref="X17:X18"/>
    <mergeCell ref="Y17:Y18"/>
    <mergeCell ref="X19:X20"/>
    <mergeCell ref="F15:F16"/>
    <mergeCell ref="Y19:Y20"/>
  </mergeCells>
  <conditionalFormatting sqref="S23 G23:P23">
    <cfRule type="expression" priority="24" dxfId="0" stopIfTrue="1">
      <formula>I37=0</formula>
    </cfRule>
  </conditionalFormatting>
  <conditionalFormatting sqref="V23:Y23">
    <cfRule type="expression" priority="1" dxfId="0" stopIfTrue="1">
      <formula>$V$23="NO CUMPLE"</formula>
    </cfRule>
  </conditionalFormatting>
  <hyperlinks>
    <hyperlink ref="A1" location="Hoja1!A1" display="VOLVER AL MENU"/>
  </hyperlinks>
  <printOptions/>
  <pageMargins left="0.984251968503937" right="0.65" top="1.3779527559055118" bottom="0.984251968503937" header="0" footer="0"/>
  <pageSetup fitToWidth="3" horizontalDpi="600" verticalDpi="600" orientation="landscape" scale="55" r:id="rId1"/>
  <headerFooter alignWithMargins="0">
    <oddFooter>&amp;CEvaluación Convocatoria Pública 022 de 2008&amp;RHoja &amp;P de &amp;N</oddFooter>
  </headerFooter>
  <colBreaks count="2" manualBreakCount="2">
    <brk id="12" min="9" max="20" man="1"/>
    <brk id="21" min="9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7">
      <pane xSplit="1" ySplit="2" topLeftCell="F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H10" sqref="H10:I10"/>
    </sheetView>
  </sheetViews>
  <sheetFormatPr defaultColWidth="11.421875" defaultRowHeight="12.75"/>
  <cols>
    <col min="1" max="1" width="31.140625" style="136" bestFit="1" customWidth="1"/>
    <col min="2" max="2" width="8.8515625" style="136" customWidth="1"/>
    <col min="3" max="3" width="9.57421875" style="113" customWidth="1"/>
    <col min="4" max="4" width="7.57421875" style="113" bestFit="1" customWidth="1"/>
    <col min="5" max="7" width="11.57421875" style="113" bestFit="1" customWidth="1"/>
    <col min="8" max="8" width="7.00390625" style="113" bestFit="1" customWidth="1"/>
    <col min="9" max="9" width="8.28125" style="113" bestFit="1" customWidth="1"/>
    <col min="10" max="10" width="11.57421875" style="113" bestFit="1" customWidth="1"/>
    <col min="11" max="11" width="7.57421875" style="113" bestFit="1" customWidth="1"/>
    <col min="12" max="12" width="13.140625" style="113" customWidth="1"/>
    <col min="13" max="13" width="16.140625" style="113" customWidth="1"/>
    <col min="14" max="15" width="10.28125" style="113" bestFit="1" customWidth="1"/>
    <col min="16" max="16384" width="11.421875" style="113" customWidth="1"/>
  </cols>
  <sheetData>
    <row r="1" spans="1:15" ht="12.75">
      <c r="A1" s="298" t="s">
        <v>89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</row>
    <row r="2" spans="1:15" ht="12.75">
      <c r="A2" s="301" t="s">
        <v>90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3"/>
    </row>
    <row r="3" spans="1:15" ht="12.75">
      <c r="A3" s="304" t="s">
        <v>91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</row>
    <row r="4" spans="1:15" ht="12.75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15" ht="12.75">
      <c r="A5" s="304" t="s">
        <v>92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6"/>
    </row>
    <row r="6" spans="1:15" ht="12.75">
      <c r="A6" s="304" t="s">
        <v>93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6"/>
    </row>
    <row r="7" spans="1:15" ht="13.5" thickBot="1">
      <c r="A7" s="114"/>
      <c r="B7" s="115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1:15" ht="45" customHeight="1" thickBot="1">
      <c r="A8" s="120" t="s">
        <v>94</v>
      </c>
      <c r="B8" s="307" t="s">
        <v>95</v>
      </c>
      <c r="C8" s="308"/>
      <c r="D8" s="307" t="s">
        <v>96</v>
      </c>
      <c r="E8" s="308"/>
      <c r="F8" s="307" t="s">
        <v>97</v>
      </c>
      <c r="G8" s="308"/>
      <c r="H8" s="307" t="s">
        <v>98</v>
      </c>
      <c r="I8" s="308"/>
      <c r="J8" s="307" t="s">
        <v>99</v>
      </c>
      <c r="K8" s="308"/>
      <c r="L8" s="307" t="s">
        <v>167</v>
      </c>
      <c r="M8" s="308"/>
      <c r="N8" s="307" t="s">
        <v>100</v>
      </c>
      <c r="O8" s="308"/>
    </row>
    <row r="9" spans="1:15" ht="26.25" thickBot="1">
      <c r="A9" s="121" t="s">
        <v>101</v>
      </c>
      <c r="B9" s="309" t="s">
        <v>102</v>
      </c>
      <c r="C9" s="309"/>
      <c r="D9" s="309" t="s">
        <v>102</v>
      </c>
      <c r="E9" s="309"/>
      <c r="F9" s="310"/>
      <c r="G9" s="310"/>
      <c r="H9" s="311"/>
      <c r="I9" s="311"/>
      <c r="J9" s="312" t="s">
        <v>102</v>
      </c>
      <c r="K9" s="312"/>
      <c r="L9" s="310"/>
      <c r="M9" s="310"/>
      <c r="N9" s="312" t="s">
        <v>103</v>
      </c>
      <c r="O9" s="313"/>
    </row>
    <row r="10" spans="1:15" ht="122.25" customHeight="1">
      <c r="A10" s="122" t="s">
        <v>104</v>
      </c>
      <c r="B10" s="314" t="s">
        <v>1</v>
      </c>
      <c r="C10" s="314"/>
      <c r="D10" s="314" t="s">
        <v>1</v>
      </c>
      <c r="E10" s="314"/>
      <c r="F10" s="314" t="s">
        <v>1</v>
      </c>
      <c r="G10" s="314"/>
      <c r="H10" s="315" t="s">
        <v>1</v>
      </c>
      <c r="I10" s="315"/>
      <c r="J10" s="315" t="s">
        <v>1</v>
      </c>
      <c r="K10" s="315"/>
      <c r="L10" s="316" t="s">
        <v>105</v>
      </c>
      <c r="M10" s="317"/>
      <c r="N10" s="315" t="s">
        <v>1</v>
      </c>
      <c r="O10" s="318"/>
    </row>
    <row r="11" spans="1:15" ht="12.75">
      <c r="A11" s="123" t="s">
        <v>106</v>
      </c>
      <c r="B11" s="319" t="s">
        <v>1</v>
      </c>
      <c r="C11" s="319"/>
      <c r="D11" s="319" t="s">
        <v>1</v>
      </c>
      <c r="E11" s="319"/>
      <c r="F11" s="319" t="s">
        <v>1</v>
      </c>
      <c r="G11" s="319"/>
      <c r="H11" s="320" t="s">
        <v>1</v>
      </c>
      <c r="I11" s="320"/>
      <c r="J11" s="320" t="s">
        <v>1</v>
      </c>
      <c r="K11" s="320"/>
      <c r="L11" s="320" t="s">
        <v>107</v>
      </c>
      <c r="M11" s="320"/>
      <c r="N11" s="323" t="s">
        <v>107</v>
      </c>
      <c r="O11" s="324"/>
    </row>
    <row r="12" spans="1:15" ht="17.25" customHeight="1">
      <c r="A12" s="125"/>
      <c r="B12" s="126" t="s">
        <v>108</v>
      </c>
      <c r="C12" s="126" t="s">
        <v>109</v>
      </c>
      <c r="D12" s="126" t="s">
        <v>108</v>
      </c>
      <c r="E12" s="126" t="s">
        <v>109</v>
      </c>
      <c r="F12" s="126" t="s">
        <v>108</v>
      </c>
      <c r="G12" s="126" t="s">
        <v>109</v>
      </c>
      <c r="H12" s="126" t="s">
        <v>108</v>
      </c>
      <c r="I12" s="126" t="s">
        <v>109</v>
      </c>
      <c r="J12" s="126" t="s">
        <v>108</v>
      </c>
      <c r="K12" s="126" t="s">
        <v>109</v>
      </c>
      <c r="L12" s="126" t="s">
        <v>108</v>
      </c>
      <c r="M12" s="126" t="s">
        <v>109</v>
      </c>
      <c r="N12" s="126" t="s">
        <v>108</v>
      </c>
      <c r="O12" s="127" t="s">
        <v>109</v>
      </c>
    </row>
    <row r="13" spans="1:15" ht="196.5" customHeight="1">
      <c r="A13" s="125"/>
      <c r="B13" s="124" t="s">
        <v>1</v>
      </c>
      <c r="C13" s="124" t="s">
        <v>1</v>
      </c>
      <c r="D13" s="124" t="s">
        <v>1</v>
      </c>
      <c r="E13" s="124" t="s">
        <v>1</v>
      </c>
      <c r="F13" s="124" t="s">
        <v>1</v>
      </c>
      <c r="G13" s="124" t="s">
        <v>1</v>
      </c>
      <c r="H13" s="325" t="s">
        <v>1</v>
      </c>
      <c r="I13" s="326"/>
      <c r="J13" s="124" t="s">
        <v>1</v>
      </c>
      <c r="K13" s="124" t="s">
        <v>1</v>
      </c>
      <c r="L13" s="327" t="s">
        <v>169</v>
      </c>
      <c r="M13" s="328"/>
      <c r="N13" s="190" t="s">
        <v>107</v>
      </c>
      <c r="O13" s="190" t="s">
        <v>107</v>
      </c>
    </row>
    <row r="14" spans="1:15" ht="12.75">
      <c r="A14" s="123" t="s">
        <v>110</v>
      </c>
      <c r="B14" s="321" t="s">
        <v>111</v>
      </c>
      <c r="C14" s="322"/>
      <c r="D14" s="321" t="s">
        <v>111</v>
      </c>
      <c r="E14" s="322"/>
      <c r="F14" s="321" t="s">
        <v>111</v>
      </c>
      <c r="G14" s="322"/>
      <c r="H14" s="321" t="s">
        <v>111</v>
      </c>
      <c r="I14" s="322"/>
      <c r="J14" s="321" t="s">
        <v>111</v>
      </c>
      <c r="K14" s="322"/>
      <c r="L14" s="321" t="s">
        <v>111</v>
      </c>
      <c r="M14" s="322"/>
      <c r="N14" s="321" t="s">
        <v>111</v>
      </c>
      <c r="O14" s="333"/>
    </row>
    <row r="15" spans="1:15" ht="105" customHeight="1" thickBot="1">
      <c r="A15" s="128" t="s">
        <v>112</v>
      </c>
      <c r="B15" s="334" t="s">
        <v>113</v>
      </c>
      <c r="C15" s="335"/>
      <c r="D15" s="129"/>
      <c r="E15" s="130"/>
      <c r="F15" s="129"/>
      <c r="G15" s="130"/>
      <c r="H15" s="334"/>
      <c r="I15" s="335"/>
      <c r="J15" s="129"/>
      <c r="K15" s="130"/>
      <c r="L15" s="129"/>
      <c r="M15" s="130"/>
      <c r="N15" s="129"/>
      <c r="O15" s="131"/>
    </row>
    <row r="16" spans="1:15" ht="13.5" thickBot="1">
      <c r="A16" s="329" t="s">
        <v>114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1"/>
    </row>
    <row r="17" spans="1:9" ht="12.75">
      <c r="A17" s="132"/>
      <c r="B17" s="133"/>
      <c r="C17" s="134"/>
      <c r="D17" s="134"/>
      <c r="E17" s="134"/>
      <c r="F17" s="134"/>
      <c r="G17" s="134"/>
      <c r="H17" s="134"/>
      <c r="I17" s="134"/>
    </row>
    <row r="18" spans="1:15" ht="12.75">
      <c r="A18" s="332" t="s">
        <v>115</v>
      </c>
      <c r="B18" s="332"/>
      <c r="C18" s="332"/>
      <c r="D18" s="135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2.75">
      <c r="A19" s="115"/>
      <c r="B19" s="115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ht="12.75">
      <c r="A20" s="156" t="s">
        <v>170</v>
      </c>
    </row>
  </sheetData>
  <sheetProtection password="CF11" sheet="1" objects="1" scenarios="1"/>
  <mergeCells count="46">
    <mergeCell ref="A16:O16"/>
    <mergeCell ref="A18:C18"/>
    <mergeCell ref="J14:K14"/>
    <mergeCell ref="L14:M14"/>
    <mergeCell ref="N14:O14"/>
    <mergeCell ref="B15:C15"/>
    <mergeCell ref="H15:I15"/>
    <mergeCell ref="B14:C14"/>
    <mergeCell ref="D14:E14"/>
    <mergeCell ref="F14:G14"/>
    <mergeCell ref="H14:I14"/>
    <mergeCell ref="J11:K11"/>
    <mergeCell ref="L11:M11"/>
    <mergeCell ref="N11:O11"/>
    <mergeCell ref="H13:I13"/>
    <mergeCell ref="L13:M13"/>
    <mergeCell ref="B11:C11"/>
    <mergeCell ref="D11:E11"/>
    <mergeCell ref="F11:G11"/>
    <mergeCell ref="H11:I11"/>
    <mergeCell ref="J9:K9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A6:O6"/>
    <mergeCell ref="B8:C8"/>
    <mergeCell ref="D8:E8"/>
    <mergeCell ref="F8:G8"/>
    <mergeCell ref="H8:I8"/>
    <mergeCell ref="J8:K8"/>
    <mergeCell ref="L8:M8"/>
    <mergeCell ref="N8:O8"/>
    <mergeCell ref="A1:O1"/>
    <mergeCell ref="A2:O2"/>
    <mergeCell ref="A3:O3"/>
    <mergeCell ref="A5:O5"/>
  </mergeCells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337" t="s">
        <v>34</v>
      </c>
      <c r="B2" s="338"/>
      <c r="C2" s="338"/>
    </row>
    <row r="3" spans="11:16" ht="12.75" customHeight="1">
      <c r="K3" s="339" t="e">
        <f>+'EVALUACIÓN FINANCIERA'!#REF!</f>
        <v>#REF!</v>
      </c>
      <c r="L3" s="340"/>
      <c r="M3" s="340"/>
      <c r="N3" s="340"/>
      <c r="O3" s="340"/>
      <c r="P3" s="340"/>
    </row>
    <row r="4" spans="1:16" s="15" customFormat="1" ht="30" customHeight="1">
      <c r="A4" s="26" t="s">
        <v>30</v>
      </c>
      <c r="B4" s="336" t="str">
        <f>+'EVALUACIÓN FINANCIERA'!D10</f>
        <v>INDUMUEBLES HERNANDEZ LTDA.</v>
      </c>
      <c r="C4" s="336"/>
      <c r="D4" s="336"/>
      <c r="E4" s="336" t="e">
        <f>+'EVALUACIÓN FINANCIERA'!#REF!</f>
        <v>#REF!</v>
      </c>
      <c r="F4" s="336"/>
      <c r="G4" s="336"/>
      <c r="H4" s="336" t="e">
        <f>+'EVALUACIÓN FINANCIERA'!#REF!</f>
        <v>#REF!</v>
      </c>
      <c r="I4" s="336"/>
      <c r="J4" s="336"/>
      <c r="K4" s="336"/>
      <c r="L4" s="336"/>
      <c r="M4" s="336"/>
      <c r="N4" s="336" t="e">
        <f>+'EVALUACIÓN FINANCIERA'!#REF!</f>
        <v>#REF!</v>
      </c>
      <c r="O4" s="336"/>
      <c r="P4" s="336"/>
    </row>
    <row r="5" spans="2:16" s="1" customFormat="1" ht="12.75">
      <c r="B5" s="16" t="s">
        <v>19</v>
      </c>
      <c r="C5" s="16" t="s">
        <v>20</v>
      </c>
      <c r="D5" s="16" t="s">
        <v>21</v>
      </c>
      <c r="E5" s="16" t="s">
        <v>19</v>
      </c>
      <c r="F5" s="16" t="s">
        <v>20</v>
      </c>
      <c r="G5" s="16" t="s">
        <v>21</v>
      </c>
      <c r="H5" s="16" t="s">
        <v>19</v>
      </c>
      <c r="I5" s="16" t="s">
        <v>20</v>
      </c>
      <c r="J5" s="16" t="s">
        <v>21</v>
      </c>
      <c r="K5" s="16" t="s">
        <v>19</v>
      </c>
      <c r="L5" s="16" t="s">
        <v>20</v>
      </c>
      <c r="M5" s="16" t="s">
        <v>21</v>
      </c>
      <c r="N5" s="16" t="s">
        <v>19</v>
      </c>
      <c r="O5" s="16" t="s">
        <v>20</v>
      </c>
      <c r="P5" s="16" t="s">
        <v>21</v>
      </c>
    </row>
    <row r="6" ht="12.75">
      <c r="B6" s="19"/>
    </row>
    <row r="7" spans="1:16" ht="12.75">
      <c r="A7" s="17" t="s">
        <v>23</v>
      </c>
      <c r="B7" s="22"/>
      <c r="C7" s="22"/>
      <c r="D7" s="22">
        <f>+B7-C7</f>
        <v>0</v>
      </c>
      <c r="E7" s="22"/>
      <c r="F7" s="22"/>
      <c r="G7" s="22">
        <f>+E7-F7</f>
        <v>0</v>
      </c>
      <c r="H7" s="22"/>
      <c r="I7" s="22"/>
      <c r="J7" s="22">
        <f>+H7-I7</f>
        <v>0</v>
      </c>
      <c r="K7" s="22"/>
      <c r="L7" s="22"/>
      <c r="M7" s="22">
        <f>+K7-L7</f>
        <v>0</v>
      </c>
      <c r="N7" s="22"/>
      <c r="O7" s="22"/>
      <c r="P7" s="22">
        <f>+N7-O7</f>
        <v>0</v>
      </c>
    </row>
    <row r="8" spans="2:16" ht="12.7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2.75">
      <c r="A9" s="17" t="s">
        <v>22</v>
      </c>
      <c r="B9" s="22"/>
      <c r="C9" s="22"/>
      <c r="D9" s="22">
        <f>+B9-C9</f>
        <v>0</v>
      </c>
      <c r="E9" s="22"/>
      <c r="F9" s="22"/>
      <c r="G9" s="22">
        <f>+E9-F9</f>
        <v>0</v>
      </c>
      <c r="H9" s="22"/>
      <c r="I9" s="22"/>
      <c r="J9" s="22">
        <f>+H9-I9</f>
        <v>0</v>
      </c>
      <c r="K9" s="22"/>
      <c r="L9" s="22"/>
      <c r="M9" s="22">
        <f>+K9-L9</f>
        <v>0</v>
      </c>
      <c r="N9" s="22"/>
      <c r="O9" s="22"/>
      <c r="P9" s="22">
        <f>+N9-O9</f>
        <v>0</v>
      </c>
    </row>
    <row r="10" spans="2:16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>
      <c r="A11" s="17" t="s">
        <v>24</v>
      </c>
      <c r="B11" s="23">
        <f aca="true" t="shared" si="0" ref="B11:J11">+B7-B9</f>
        <v>0</v>
      </c>
      <c r="C11" s="23">
        <f t="shared" si="0"/>
        <v>0</v>
      </c>
      <c r="D11" s="23">
        <f t="shared" si="0"/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aca="true" t="shared" si="1" ref="K11:P11">+K7-K9</f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0</v>
      </c>
    </row>
    <row r="12" spans="2:16" ht="12.7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17" t="s">
        <v>25</v>
      </c>
      <c r="B13" s="22"/>
      <c r="C13" s="22"/>
      <c r="D13" s="22">
        <f>+B13-C13</f>
        <v>0</v>
      </c>
      <c r="E13" s="22"/>
      <c r="F13" s="22"/>
      <c r="G13" s="22">
        <f>+E13-F13</f>
        <v>0</v>
      </c>
      <c r="H13" s="22"/>
      <c r="I13" s="22"/>
      <c r="J13" s="22">
        <f>+H13-I13</f>
        <v>0</v>
      </c>
      <c r="K13" s="22"/>
      <c r="L13" s="22"/>
      <c r="M13" s="22">
        <f>+K13-L13</f>
        <v>0</v>
      </c>
      <c r="N13" s="22"/>
      <c r="O13" s="22"/>
      <c r="P13" s="22">
        <f>+N13-O13</f>
        <v>0</v>
      </c>
    </row>
    <row r="14" spans="2:16" ht="12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.75">
      <c r="A15" s="17" t="s">
        <v>26</v>
      </c>
      <c r="B15" s="22"/>
      <c r="C15" s="22"/>
      <c r="D15" s="22">
        <f>+B15-C15</f>
        <v>0</v>
      </c>
      <c r="E15" s="22"/>
      <c r="F15" s="22"/>
      <c r="G15" s="22">
        <f>+E15-F15</f>
        <v>0</v>
      </c>
      <c r="H15" s="22"/>
      <c r="I15" s="22"/>
      <c r="J15" s="22">
        <f>+H15-I15</f>
        <v>0</v>
      </c>
      <c r="K15" s="22"/>
      <c r="L15" s="22"/>
      <c r="M15" s="22">
        <f>+K15-L15</f>
        <v>0</v>
      </c>
      <c r="N15" s="22"/>
      <c r="O15" s="22"/>
      <c r="P15" s="22">
        <f>+N15-O15</f>
        <v>0</v>
      </c>
    </row>
    <row r="16" spans="2:16" ht="12.7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s="17" t="s">
        <v>27</v>
      </c>
      <c r="B17" s="22"/>
      <c r="C17" s="22"/>
      <c r="D17" s="22">
        <f>+B17-C17</f>
        <v>0</v>
      </c>
      <c r="E17" s="22"/>
      <c r="F17" s="22"/>
      <c r="G17" s="22">
        <f>+E17-F17</f>
        <v>0</v>
      </c>
      <c r="H17" s="22"/>
      <c r="I17" s="22"/>
      <c r="J17" s="22">
        <f>+H17-I17</f>
        <v>0</v>
      </c>
      <c r="K17" s="22"/>
      <c r="L17" s="22"/>
      <c r="M17" s="22">
        <f>+K17-L17</f>
        <v>0</v>
      </c>
      <c r="N17" s="22"/>
      <c r="O17" s="22"/>
      <c r="P17" s="22">
        <f>+N17-O17</f>
        <v>0</v>
      </c>
    </row>
    <row r="18" spans="2:16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2.75">
      <c r="A19" s="17" t="s">
        <v>32</v>
      </c>
      <c r="B19" s="22"/>
      <c r="C19" s="22"/>
      <c r="D19" s="22">
        <f>+B19-C19</f>
        <v>0</v>
      </c>
      <c r="E19" s="22"/>
      <c r="F19" s="22"/>
      <c r="G19" s="22">
        <f>+E19-F19</f>
        <v>0</v>
      </c>
      <c r="H19" s="22"/>
      <c r="I19" s="22"/>
      <c r="J19" s="22">
        <f>+H19-I19</f>
        <v>0</v>
      </c>
      <c r="K19" s="22"/>
      <c r="L19" s="22"/>
      <c r="M19" s="22">
        <f>+K19-L19</f>
        <v>0</v>
      </c>
      <c r="N19" s="22"/>
      <c r="O19" s="22"/>
      <c r="P19" s="22">
        <f>+N19-O19</f>
        <v>0</v>
      </c>
    </row>
    <row r="20" spans="2:16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.75">
      <c r="A21" s="17" t="s">
        <v>28</v>
      </c>
      <c r="B21" s="22"/>
      <c r="C21" s="22"/>
      <c r="D21" s="22">
        <f>+B21-C21</f>
        <v>0</v>
      </c>
      <c r="E21" s="22"/>
      <c r="F21" s="22"/>
      <c r="G21" s="22">
        <f>+E21-F21</f>
        <v>0</v>
      </c>
      <c r="H21" s="22"/>
      <c r="I21" s="22"/>
      <c r="J21" s="22">
        <f>+H21-I21</f>
        <v>0</v>
      </c>
      <c r="K21" s="22"/>
      <c r="L21" s="22"/>
      <c r="M21" s="22">
        <f>+K21-L21</f>
        <v>0</v>
      </c>
      <c r="N21" s="22"/>
      <c r="O21" s="22"/>
      <c r="P21" s="22">
        <f>+N21-O21</f>
        <v>0</v>
      </c>
    </row>
    <row r="22" spans="2:16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17" t="s">
        <v>29</v>
      </c>
      <c r="B23" s="23">
        <f aca="true" t="shared" si="2" ref="B23:J23">+B13-B15-B17-B19-B21</f>
        <v>0</v>
      </c>
      <c r="C23" s="23">
        <f t="shared" si="2"/>
        <v>0</v>
      </c>
      <c r="D23" s="24">
        <f t="shared" si="2"/>
        <v>0</v>
      </c>
      <c r="E23" s="23">
        <f t="shared" si="2"/>
        <v>0</v>
      </c>
      <c r="F23" s="23">
        <f t="shared" si="2"/>
        <v>0</v>
      </c>
      <c r="G23" s="24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aca="true" t="shared" si="3" ref="K23:P23">+K13-K15-K17-K19-K21</f>
        <v>0</v>
      </c>
      <c r="L23" s="23">
        <f t="shared" si="3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</row>
    <row r="27" spans="1:3" ht="12.75">
      <c r="A27" s="337" t="s">
        <v>34</v>
      </c>
      <c r="B27" s="338"/>
      <c r="C27" s="338"/>
    </row>
    <row r="29" spans="1:13" ht="12.75">
      <c r="A29" s="26" t="s">
        <v>31</v>
      </c>
      <c r="B29" s="336" t="str">
        <f>+B4</f>
        <v>INDUMUEBLES HERNANDEZ LTDA.</v>
      </c>
      <c r="C29" s="336"/>
      <c r="D29" s="336"/>
      <c r="E29" s="336" t="e">
        <f>+E4</f>
        <v>#REF!</v>
      </c>
      <c r="F29" s="336"/>
      <c r="G29" s="336"/>
      <c r="H29" s="336" t="e">
        <f>+H4</f>
        <v>#REF!</v>
      </c>
      <c r="I29" s="336"/>
      <c r="J29" s="336"/>
      <c r="K29" s="336">
        <f>+K4</f>
        <v>0</v>
      </c>
      <c r="L29" s="336"/>
      <c r="M29" s="336"/>
    </row>
    <row r="30" spans="1:13" ht="12.75">
      <c r="A30" s="1"/>
      <c r="B30" s="16" t="s">
        <v>19</v>
      </c>
      <c r="C30" s="16" t="s">
        <v>20</v>
      </c>
      <c r="D30" s="16" t="s">
        <v>21</v>
      </c>
      <c r="E30" s="16" t="s">
        <v>19</v>
      </c>
      <c r="F30" s="16" t="s">
        <v>20</v>
      </c>
      <c r="G30" s="16" t="s">
        <v>21</v>
      </c>
      <c r="H30" s="16" t="s">
        <v>19</v>
      </c>
      <c r="I30" s="16" t="s">
        <v>20</v>
      </c>
      <c r="J30" s="16" t="s">
        <v>21</v>
      </c>
      <c r="K30" s="16" t="s">
        <v>19</v>
      </c>
      <c r="L30" s="16" t="s">
        <v>20</v>
      </c>
      <c r="M30" s="16" t="s">
        <v>21</v>
      </c>
    </row>
    <row r="32" spans="1:13" ht="12.75">
      <c r="A32" s="17" t="s">
        <v>23</v>
      </c>
      <c r="B32" s="22">
        <v>338540</v>
      </c>
      <c r="C32" s="22">
        <v>338540</v>
      </c>
      <c r="D32" s="22">
        <f>+B32-C32</f>
        <v>0</v>
      </c>
      <c r="E32" s="22"/>
      <c r="F32" s="22">
        <v>2236097</v>
      </c>
      <c r="G32" s="22">
        <f>+E32-F32</f>
        <v>-2236097</v>
      </c>
      <c r="H32" s="22">
        <v>3913626</v>
      </c>
      <c r="I32" s="22">
        <v>3439435</v>
      </c>
      <c r="J32" s="22">
        <f>+H32-I32</f>
        <v>474191</v>
      </c>
      <c r="K32" s="22">
        <v>3913626</v>
      </c>
      <c r="L32" s="22">
        <v>3439435</v>
      </c>
      <c r="M32" s="22">
        <f>+K32-L32</f>
        <v>474191</v>
      </c>
    </row>
    <row r="33" spans="2:13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17" t="s">
        <v>22</v>
      </c>
      <c r="B34" s="22">
        <v>177384</v>
      </c>
      <c r="C34" s="22">
        <v>177384</v>
      </c>
      <c r="D34" s="22">
        <f>+B34-C34</f>
        <v>0</v>
      </c>
      <c r="E34" s="22"/>
      <c r="F34" s="22">
        <v>1443897</v>
      </c>
      <c r="G34" s="22">
        <f>+E34-F34</f>
        <v>-1443897</v>
      </c>
      <c r="H34" s="22">
        <v>1966502</v>
      </c>
      <c r="I34" s="22">
        <v>1966503</v>
      </c>
      <c r="J34" s="22">
        <f>+H34-I34</f>
        <v>-1</v>
      </c>
      <c r="K34" s="22">
        <v>1966502</v>
      </c>
      <c r="L34" s="22">
        <v>1966503</v>
      </c>
      <c r="M34" s="22">
        <f>+K34-L34</f>
        <v>-1</v>
      </c>
    </row>
    <row r="35" spans="2:13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2.75">
      <c r="A36" s="17" t="s">
        <v>24</v>
      </c>
      <c r="B36" s="23">
        <f aca="true" t="shared" si="4" ref="B36:J36">+B32-B34</f>
        <v>161156</v>
      </c>
      <c r="C36" s="23">
        <f t="shared" si="4"/>
        <v>161156</v>
      </c>
      <c r="D36" s="23">
        <f t="shared" si="4"/>
        <v>0</v>
      </c>
      <c r="E36" s="23">
        <f t="shared" si="4"/>
        <v>0</v>
      </c>
      <c r="F36" s="23">
        <f t="shared" si="4"/>
        <v>792200</v>
      </c>
      <c r="G36" s="23">
        <f t="shared" si="4"/>
        <v>-792200</v>
      </c>
      <c r="H36" s="25">
        <f t="shared" si="4"/>
        <v>1947124</v>
      </c>
      <c r="I36" s="25">
        <f t="shared" si="4"/>
        <v>1472932</v>
      </c>
      <c r="J36" s="25">
        <f t="shared" si="4"/>
        <v>474192</v>
      </c>
      <c r="K36" s="25">
        <f>+K32-K34</f>
        <v>1947124</v>
      </c>
      <c r="L36" s="25">
        <f>+L32-L34</f>
        <v>1472932</v>
      </c>
      <c r="M36" s="25">
        <f>+M32-M34</f>
        <v>474192</v>
      </c>
    </row>
    <row r="37" spans="2:13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17" t="s">
        <v>25</v>
      </c>
      <c r="B38" s="22">
        <f>3497+174390</f>
        <v>177887</v>
      </c>
      <c r="C38" s="22">
        <v>177887</v>
      </c>
      <c r="D38" s="22">
        <f>+B38-C38</f>
        <v>0</v>
      </c>
      <c r="E38" s="22">
        <v>5286525</v>
      </c>
      <c r="F38" s="22">
        <v>5295374</v>
      </c>
      <c r="G38" s="22">
        <f>+E38-F38</f>
        <v>-8849</v>
      </c>
      <c r="H38" s="22">
        <f>2270798+344789</f>
        <v>2615587</v>
      </c>
      <c r="I38" s="22">
        <f>2270798+344789</f>
        <v>2615587</v>
      </c>
      <c r="J38" s="22">
        <f>+H38-I38</f>
        <v>0</v>
      </c>
      <c r="K38" s="22">
        <f>2270798+344789</f>
        <v>2615587</v>
      </c>
      <c r="L38" s="22">
        <f>2270798+344789</f>
        <v>2615587</v>
      </c>
      <c r="M38" s="22">
        <f>+K38-L38</f>
        <v>0</v>
      </c>
    </row>
    <row r="39" spans="2:13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2.75">
      <c r="A40" s="17" t="s">
        <v>26</v>
      </c>
      <c r="B40" s="22"/>
      <c r="C40" s="22">
        <v>0</v>
      </c>
      <c r="D40" s="22">
        <f>+B40-C40</f>
        <v>0</v>
      </c>
      <c r="E40" s="22">
        <v>3389864</v>
      </c>
      <c r="F40" s="22">
        <v>3389864</v>
      </c>
      <c r="G40" s="22">
        <f>+E40-F40</f>
        <v>0</v>
      </c>
      <c r="H40" s="22"/>
      <c r="I40" s="22">
        <v>0</v>
      </c>
      <c r="J40" s="22">
        <f>+H40-I40</f>
        <v>0</v>
      </c>
      <c r="K40" s="22"/>
      <c r="L40" s="22">
        <v>0</v>
      </c>
      <c r="M40" s="22">
        <f>+K40-L40</f>
        <v>0</v>
      </c>
    </row>
    <row r="41" spans="2:13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17" t="s">
        <v>27</v>
      </c>
      <c r="B42" s="22">
        <f>158173+3499</f>
        <v>161672</v>
      </c>
      <c r="C42" s="22">
        <f>152061+3494</f>
        <v>155555</v>
      </c>
      <c r="D42" s="22">
        <f>+B42-C42</f>
        <v>6117</v>
      </c>
      <c r="E42" s="22">
        <v>1818615</v>
      </c>
      <c r="F42" s="22">
        <f>1150575+146851</f>
        <v>1297426</v>
      </c>
      <c r="G42" s="22">
        <f>+E42-F42</f>
        <v>521189</v>
      </c>
      <c r="H42" s="22">
        <f>1533588+58314+282281</f>
        <v>1874183</v>
      </c>
      <c r="I42" s="22">
        <f>1533588+58314+282281</f>
        <v>1874183</v>
      </c>
      <c r="J42" s="22">
        <f>+H42-I42</f>
        <v>0</v>
      </c>
      <c r="K42" s="22">
        <f>1533588+58314+282281</f>
        <v>1874183</v>
      </c>
      <c r="L42" s="22">
        <f>1533588+58314+282281</f>
        <v>1874183</v>
      </c>
      <c r="M42" s="22">
        <f>+K42-L42</f>
        <v>0</v>
      </c>
    </row>
    <row r="43" spans="2:13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17" t="s">
        <v>32</v>
      </c>
      <c r="B44" s="22"/>
      <c r="C44" s="22"/>
      <c r="D44" s="22">
        <f>+B44-C44</f>
        <v>0</v>
      </c>
      <c r="E44" s="22"/>
      <c r="F44" s="22">
        <f>5943+8849</f>
        <v>14792</v>
      </c>
      <c r="G44" s="22">
        <f>+E44-F44</f>
        <v>-14792</v>
      </c>
      <c r="H44" s="22"/>
      <c r="I44" s="22"/>
      <c r="J44" s="22">
        <f>+H44-I44</f>
        <v>0</v>
      </c>
      <c r="K44" s="22"/>
      <c r="L44" s="22"/>
      <c r="M44" s="22">
        <f>+K44-L44</f>
        <v>0</v>
      </c>
    </row>
    <row r="45" spans="2:13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17" t="s">
        <v>28</v>
      </c>
      <c r="B46" s="22">
        <v>15086</v>
      </c>
      <c r="C46" s="22">
        <f>1951+5619</f>
        <v>7570</v>
      </c>
      <c r="D46" s="22">
        <f>+B46-C46</f>
        <v>7516</v>
      </c>
      <c r="E46" s="22"/>
      <c r="F46" s="22">
        <v>202738</v>
      </c>
      <c r="G46" s="22">
        <f>+E46-F46</f>
        <v>-202738</v>
      </c>
      <c r="H46" s="22">
        <f>136270+132488+4747</f>
        <v>273505</v>
      </c>
      <c r="I46" s="22">
        <f>136270+132488+4747</f>
        <v>273505</v>
      </c>
      <c r="J46" s="22">
        <f>+H46-I46</f>
        <v>0</v>
      </c>
      <c r="K46" s="22">
        <f>136270+132488+4747</f>
        <v>273505</v>
      </c>
      <c r="L46" s="22">
        <f>136270+132488+4747</f>
        <v>273505</v>
      </c>
      <c r="M46" s="22">
        <f>+K46-L46</f>
        <v>0</v>
      </c>
    </row>
    <row r="47" spans="2:13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17" t="s">
        <v>29</v>
      </c>
      <c r="B48" s="23">
        <f aca="true" t="shared" si="5" ref="B48:J48">+B38-B40-B42-B44-B46</f>
        <v>1129</v>
      </c>
      <c r="C48" s="23">
        <f t="shared" si="5"/>
        <v>14762</v>
      </c>
      <c r="D48" s="24">
        <f t="shared" si="5"/>
        <v>-13633</v>
      </c>
      <c r="E48" s="23">
        <f t="shared" si="5"/>
        <v>78046</v>
      </c>
      <c r="F48" s="23">
        <f t="shared" si="5"/>
        <v>390554</v>
      </c>
      <c r="G48" s="23">
        <f t="shared" si="5"/>
        <v>-312508</v>
      </c>
      <c r="H48" s="23">
        <f t="shared" si="5"/>
        <v>467899</v>
      </c>
      <c r="I48" s="23">
        <f t="shared" si="5"/>
        <v>467899</v>
      </c>
      <c r="J48" s="24">
        <f t="shared" si="5"/>
        <v>0</v>
      </c>
      <c r="K48" s="23">
        <f>+K38-K40-K42-K44-K46</f>
        <v>467899</v>
      </c>
      <c r="L48" s="23">
        <f>+L38-L40-L42-L44-L46</f>
        <v>467899</v>
      </c>
      <c r="M48" s="24">
        <f>+M38-M40-M42-M44-M46</f>
        <v>0</v>
      </c>
    </row>
    <row r="49" ht="12.75">
      <c r="D49" s="20" t="s">
        <v>33</v>
      </c>
    </row>
  </sheetData>
  <sheetProtection/>
  <mergeCells count="12">
    <mergeCell ref="N4:P4"/>
    <mergeCell ref="K3:P3"/>
    <mergeCell ref="E4:G4"/>
    <mergeCell ref="H4:J4"/>
    <mergeCell ref="K4:M4"/>
    <mergeCell ref="K29:M29"/>
    <mergeCell ref="A2:C2"/>
    <mergeCell ref="A27:C27"/>
    <mergeCell ref="B29:D29"/>
    <mergeCell ref="E29:G29"/>
    <mergeCell ref="H29:J29"/>
    <mergeCell ref="B4:D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aviceadmin3</cp:lastModifiedBy>
  <cp:lastPrinted>2008-12-01T13:39:39Z</cp:lastPrinted>
  <dcterms:created xsi:type="dcterms:W3CDTF">2008-02-21T13:10:19Z</dcterms:created>
  <dcterms:modified xsi:type="dcterms:W3CDTF">2008-12-02T13:33:46Z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