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firstSheet="1" activeTab="1"/>
  </bookViews>
  <sheets>
    <sheet name="VERIFICACION DE LOS D. FINANCIE" sheetId="1" r:id="rId1"/>
    <sheet name="EVALUACIÓN FINANCIERA" sheetId="2" r:id="rId2"/>
    <sheet name="EVALUACION ECONOMICA" sheetId="3" r:id="rId3"/>
    <sheet name="CONCILIACIONES" sheetId="4" state="hidden" r:id="rId4"/>
  </sheets>
  <definedNames>
    <definedName name="_xlnm.Print_Area" localSheetId="1">'EVALUACIÓN FINANCIERA'!$B$5:$AB$23</definedName>
    <definedName name="_xlnm.Print_Area" localSheetId="0">'VERIFICACION DE LOS D. FINANCIE'!$A$1:$AH$13</definedName>
    <definedName name="_xlnm.Print_Titles" localSheetId="1">'EVALUACIÓN FINANCIERA'!$B:$C,'EVALUACIÓN FINANCIERA'!$5:$14</definedName>
    <definedName name="_xlnm.Print_Titles" localSheetId="0">'VERIFICACION DE LOS D. FINANCIE'!$A:$A,'VERIFICACION DE LOS D. FINANCIE'!$1:$3</definedName>
  </definedNames>
  <calcPr fullCalcOnLoad="1"/>
</workbook>
</file>

<file path=xl/sharedStrings.xml><?xml version="1.0" encoding="utf-8"?>
<sst xmlns="http://schemas.openxmlformats.org/spreadsheetml/2006/main" count="265" uniqueCount="117">
  <si>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</si>
  <si>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</si>
  <si>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</si>
  <si>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</si>
  <si>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</si>
  <si>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</si>
  <si>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</si>
  <si>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</si>
  <si>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</si>
  <si>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</si>
  <si>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</si>
  <si>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</si>
  <si>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</si>
  <si>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</si>
  <si>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</si>
  <si>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</si>
  <si>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</si>
  <si>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</si>
  <si>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</si>
  <si>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</si>
  <si>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</si>
  <si>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</si>
  <si>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</si>
  <si>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</si>
  <si>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</si>
  <si>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</si>
  <si>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</si>
  <si>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</si>
  <si>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</si>
  <si>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</si>
  <si>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</si>
  <si>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</si>
  <si>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</si>
  <si>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</si>
  <si>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</si>
  <si>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</si>
  <si>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</si>
  <si>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</si>
  <si>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</si>
  <si>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RAZON CORRIENTE &gt;= 1.2 (AC/PC)</t>
  </si>
  <si>
    <t>ENDEUDAMIENTO &lt;=80 % (PASIVO TOTAL / ACTIVO TOTAL )*100</t>
  </si>
  <si>
    <t>VALOR TOTAL OFERTADO</t>
  </si>
  <si>
    <t>CAPITAL DE TRABAJO &gt;=40% de la Oferta ((AC-PC)</t>
  </si>
  <si>
    <t>CAPACIDAD DE OFERTA</t>
  </si>
  <si>
    <t>FOLIO 80</t>
  </si>
  <si>
    <t>FOLIO 53</t>
  </si>
  <si>
    <t>EVALUACIÓN FINANCIERA: CONVOCATORIA PUBLICA Nº 023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</si>
  <si>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CONTRATAR EL MANTENIMIENTO Y REPARACION DE LOS LABORATORIOS SEDE VIVERO DE LA FACULTAD DEL MEDIO AMBIENTE DE LA UNIVERSIDAD DISTRITAL FRANCISCO JOSE DE CALDAS </t>
    </r>
  </si>
  <si>
    <t>N/A</t>
  </si>
  <si>
    <t>FOLIO 82 Y FOLIO 85</t>
  </si>
  <si>
    <t>PATRIMONIO TOTAL</t>
  </si>
  <si>
    <t>CONSORCIO TORO RAMIREZ</t>
  </si>
  <si>
    <t>GONZALO ROMERO LOZADA</t>
  </si>
  <si>
    <t>JOSE PEDRO TOVAR PENAGOS</t>
  </si>
  <si>
    <t>CONSORCIO L &amp; L CONTRUCCIONES</t>
  </si>
  <si>
    <t>FERNANDO LANCHEROS PEDRAZA</t>
  </si>
  <si>
    <t>HERNANDO LANCHEROS IBAÑEZ</t>
  </si>
  <si>
    <t>VALOR OFERTADO</t>
  </si>
  <si>
    <t>RELACIÓN PATRIMONIAL &lt;=1.5 (VO/ PT)</t>
  </si>
  <si>
    <t>CONSORCIO EDIMAT</t>
  </si>
  <si>
    <t>EDILBERTO MATEUS ALVAREZ</t>
  </si>
  <si>
    <t>JOHN WILLIAM CASALLAS JURADO</t>
  </si>
  <si>
    <t>TRAING TRABAJOS DE INGENIERIA LTDA.</t>
  </si>
  <si>
    <t>CONSTRUCTORA, CONSULTORA Y PROVEEDORA MEROBEL LTDA.</t>
  </si>
  <si>
    <t>PROTELCA INGENIEROS ARQUITECTOS LTDA.</t>
  </si>
  <si>
    <t>CONSTRUCTORA LOVAJ LTDA.</t>
  </si>
  <si>
    <t>CONSTRUCCIONES MASTER Y CIA LTDA.</t>
  </si>
  <si>
    <t>FOLIO 38 A FOLIO 47</t>
  </si>
  <si>
    <t>FOLIO 49</t>
  </si>
  <si>
    <t>FOLIO 56 Y FOLIO 57</t>
  </si>
  <si>
    <t>FOLIO 44 A FOLIO 54</t>
  </si>
  <si>
    <t>FOLIO 59</t>
  </si>
  <si>
    <t>FOLIO 61</t>
  </si>
  <si>
    <t>FOLIO 46 A FOLIO 57</t>
  </si>
  <si>
    <t>FOLIO 56</t>
  </si>
  <si>
    <t>FOLIO 50 Y 51</t>
  </si>
  <si>
    <t>FOLIO 26 A FOLIO 34</t>
  </si>
  <si>
    <t>FOLIO 48</t>
  </si>
  <si>
    <t>FOLIO 42 Y FOLIO 45</t>
  </si>
  <si>
    <t>FOLIO 39</t>
  </si>
  <si>
    <t>FOLIO 40 A FOLIO 43</t>
  </si>
  <si>
    <t>FOLIO 47 Y FOLIO 49</t>
  </si>
  <si>
    <t>FOLIO 50</t>
  </si>
  <si>
    <t>FOLIO 51 A FOLIO 55</t>
  </si>
  <si>
    <t>FOLIO 59 Y FOLIO 61</t>
  </si>
  <si>
    <t>FOLIO 44 A FOLIO 49</t>
  </si>
  <si>
    <t>FOLIO 52 A FOLIO 57</t>
  </si>
  <si>
    <t>FOLIO 63 Y FOLIO 65</t>
  </si>
  <si>
    <t>FOLIO 64 Y FOLIO 65</t>
  </si>
  <si>
    <t>FOLIO 66</t>
  </si>
  <si>
    <t>FOLIO 67</t>
  </si>
  <si>
    <t>FOLIO 68</t>
  </si>
  <si>
    <t>FOLIO 69</t>
  </si>
  <si>
    <t>FOLIO 70 A FOLIO 74</t>
  </si>
  <si>
    <t>FOLIO 79</t>
  </si>
  <si>
    <t>FOLIO 86 A FOLIO 90</t>
  </si>
  <si>
    <t>FOLIO 96</t>
  </si>
  <si>
    <t>FOLIO 97</t>
  </si>
  <si>
    <t>FOLIO 99 Y FOLIO 102</t>
  </si>
  <si>
    <t>FOLIO 123 Y FOLIO 126</t>
  </si>
  <si>
    <t>FOLIO 127</t>
  </si>
  <si>
    <t>FOLIO 120</t>
  </si>
  <si>
    <t>FOLIO 103 A FOLIO 119</t>
  </si>
  <si>
    <r>
      <t xml:space="preserve">SE SOLICITA ACLARAR  LAS VARIACIONES DEL AÑO 2006 AL 2007, EN LA SUBCUENTAS  DEL PATRIMONIO
</t>
    </r>
    <r>
      <rPr>
        <sz val="8"/>
        <color indexed="48"/>
        <rFont val="Arial"/>
        <family val="2"/>
      </rPr>
      <t xml:space="preserve">
ENVIA ACLARACIÓN MEDIANTE CARTA</t>
    </r>
  </si>
  <si>
    <t>VALOR PRESENTADO</t>
  </si>
  <si>
    <t>VALOR SUMATORIA REAL</t>
  </si>
  <si>
    <t>CONSTRUCCIONES MASTER Y CIA LTDA</t>
  </si>
  <si>
    <t>CONSORCIO L&amp;L CONSTRUCCIONES</t>
  </si>
  <si>
    <t>MEDIA ARITMETICA</t>
  </si>
  <si>
    <t>VARIACION A LA MEDIA</t>
  </si>
  <si>
    <t xml:space="preserve">PUESTO </t>
  </si>
  <si>
    <t>1º</t>
  </si>
  <si>
    <t>2º</t>
  </si>
  <si>
    <t>3º</t>
  </si>
  <si>
    <t>4º</t>
  </si>
  <si>
    <t>5º</t>
  </si>
  <si>
    <t>EVALUACION ECONOMICA CONVOCATORIA PUBLICA 23 DE 2008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</si>
</sst>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4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4" fillId="0" borderId="0" xfId="53" applyNumberFormat="1" applyAlignment="1">
      <alignment vertical="center"/>
      <protection/>
    </xf>
    <xf numFmtId="3" fontId="14" fillId="0" borderId="0" xfId="54" applyNumberFormat="1" applyAlignment="1">
      <alignment vertical="center"/>
      <protection/>
    </xf>
    <xf numFmtId="3" fontId="14" fillId="0" borderId="0" xfId="55" applyNumberFormat="1" applyAlignment="1">
      <alignment vertical="center"/>
      <protection/>
    </xf>
    <xf numFmtId="3" fontId="14" fillId="0" borderId="0" xfId="56" applyNumberFormat="1" applyAlignment="1">
      <alignment vertical="center"/>
      <protection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1" fillId="0" borderId="19" xfId="61" applyFont="1" applyBorder="1" applyAlignment="1">
      <alignment vertical="center" wrapText="1"/>
      <protection/>
    </xf>
    <xf numFmtId="3" fontId="14" fillId="0" borderId="19" xfId="62" applyNumberFormat="1" applyBorder="1" applyAlignment="1">
      <alignment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/>
    </xf>
    <xf numFmtId="197" fontId="33" fillId="26" borderId="19" xfId="48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0" fontId="11" fillId="0" borderId="28" xfId="0" applyFont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34" xfId="0" applyFont="1" applyBorder="1" applyAlignment="1">
      <alignment wrapText="1"/>
    </xf>
    <xf numFmtId="0" fontId="1" fillId="0" borderId="3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34" fillId="26" borderId="0" xfId="0" applyNumberFormat="1" applyFont="1" applyFill="1" applyAlignment="1">
      <alignment vertical="center" wrapText="1"/>
    </xf>
    <xf numFmtId="3" fontId="8" fillId="25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6" fillId="0" borderId="28" xfId="0" applyFont="1" applyBorder="1" applyAlignment="1">
      <alignment horizontal="justify" wrapText="1"/>
    </xf>
    <xf numFmtId="0" fontId="1" fillId="0" borderId="34" xfId="0" applyFont="1" applyBorder="1" applyAlignment="1">
      <alignment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0" fontId="36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4" fontId="37" fillId="0" borderId="19" xfId="0" applyNumberFormat="1" applyFont="1" applyBorder="1" applyAlignment="1">
      <alignment/>
    </xf>
    <xf numFmtId="4" fontId="37" fillId="24" borderId="19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0" xfId="0" applyFont="1" applyBorder="1" applyAlignment="1">
      <alignment/>
    </xf>
    <xf numFmtId="0" fontId="37" fillId="0" borderId="47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39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4" borderId="4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9" xfId="0" applyFill="1" applyBorder="1" applyAlignment="1">
      <alignment/>
    </xf>
    <xf numFmtId="4" fontId="36" fillId="4" borderId="19" xfId="0" applyNumberFormat="1" applyFont="1" applyFill="1" applyBorder="1" applyAlignment="1">
      <alignment/>
    </xf>
    <xf numFmtId="0" fontId="36" fillId="4" borderId="20" xfId="0" applyFont="1" applyFill="1" applyBorder="1" applyAlignment="1">
      <alignment/>
    </xf>
    <xf numFmtId="0" fontId="37" fillId="4" borderId="2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0" fontId="8" fillId="16" borderId="53" xfId="0" applyFont="1" applyFill="1" applyBorder="1" applyAlignment="1">
      <alignment horizontal="center" vertical="center"/>
    </xf>
    <xf numFmtId="0" fontId="8" fillId="16" borderId="54" xfId="0" applyFont="1" applyFill="1" applyBorder="1" applyAlignment="1">
      <alignment horizontal="center" vertical="center"/>
    </xf>
    <xf numFmtId="0" fontId="8" fillId="16" borderId="5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0" fillId="0" borderId="48" xfId="0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10" fontId="0" fillId="0" borderId="30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2" fontId="0" fillId="0" borderId="32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25" borderId="53" xfId="0" applyFont="1" applyFill="1" applyBorder="1" applyAlignment="1">
      <alignment horizontal="center" vertical="center"/>
    </xf>
    <xf numFmtId="0" fontId="13" fillId="25" borderId="54" xfId="0" applyFont="1" applyFill="1" applyBorder="1" applyAlignment="1">
      <alignment horizontal="center" vertical="center"/>
    </xf>
    <xf numFmtId="0" fontId="13" fillId="25" borderId="5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25" borderId="53" xfId="0" applyFont="1" applyFill="1" applyBorder="1" applyAlignment="1">
      <alignment horizontal="center" vertical="center" wrapText="1"/>
    </xf>
    <xf numFmtId="0" fontId="13" fillId="25" borderId="55" xfId="0" applyFont="1" applyFill="1" applyBorder="1" applyAlignment="1">
      <alignment horizontal="center" vertical="center" wrapText="1"/>
    </xf>
    <xf numFmtId="0" fontId="8" fillId="25" borderId="54" xfId="0" applyFont="1" applyFill="1" applyBorder="1" applyAlignment="1">
      <alignment horizontal="center" vertical="center"/>
    </xf>
    <xf numFmtId="0" fontId="8" fillId="25" borderId="5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/>
    </xf>
    <xf numFmtId="0" fontId="38" fillId="4" borderId="51" xfId="0" applyFont="1" applyFill="1" applyBorder="1" applyAlignment="1">
      <alignment horizontal="center"/>
    </xf>
    <xf numFmtId="0" fontId="38" fillId="4" borderId="5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showGridLines="0" zoomScale="85" zoomScaleNormal="85" zoomScalePageLayoutView="0" workbookViewId="0" topLeftCell="A4">
      <pane xSplit="1" topLeftCell="B1" activePane="topRight" state="frozen"/>
      <selection pane="topLeft" activeCell="BN23" sqref="BN23"/>
      <selection pane="topRight" activeCell="F9" sqref="F9"/>
    </sheetView>
  </sheetViews>
  <sheetFormatPr defaultColWidth="11.421875" defaultRowHeight="12.75"/>
  <cols>
    <col min="1" max="1" width="39.28125" style="2" customWidth="1"/>
    <col min="2" max="3" width="13.8515625" style="0" customWidth="1"/>
    <col min="4" max="4" width="5.7109375" style="0" customWidth="1"/>
    <col min="5" max="6" width="13.8515625" style="0" customWidth="1"/>
    <col min="7" max="7" width="5.7109375" style="0" customWidth="1"/>
    <col min="8" max="9" width="13.8515625" style="0" customWidth="1"/>
    <col min="10" max="10" width="5.7109375" style="0" customWidth="1"/>
    <col min="11" max="12" width="13.8515625" style="0" customWidth="1"/>
    <col min="13" max="13" width="5.7109375" style="0" customWidth="1"/>
    <col min="14" max="15" width="13.8515625" style="0" customWidth="1"/>
    <col min="16" max="16" width="5.7109375" style="0" customWidth="1"/>
    <col min="17" max="18" width="13.8515625" style="0" customWidth="1"/>
    <col min="19" max="19" width="5.7109375" style="0" customWidth="1"/>
    <col min="20" max="21" width="13.8515625" style="0" customWidth="1"/>
    <col min="22" max="22" width="5.7109375" style="0" customWidth="1"/>
    <col min="23" max="24" width="13.8515625" style="0" customWidth="1"/>
    <col min="25" max="25" width="5.7109375" style="0" customWidth="1"/>
    <col min="26" max="27" width="13.8515625" style="0" customWidth="1"/>
    <col min="28" max="28" width="5.7109375" style="0" customWidth="1"/>
    <col min="29" max="30" width="13.7109375" style="0" customWidth="1"/>
    <col min="31" max="31" width="5.7109375" style="0" customWidth="1"/>
    <col min="32" max="33" width="13.8515625" style="0" customWidth="1"/>
    <col min="34" max="34" width="5.7109375" style="0" customWidth="1"/>
  </cols>
  <sheetData>
    <row r="1" spans="1:13" ht="47.25" customHeight="1" thickBot="1">
      <c r="A1" s="79" t="s">
        <v>46</v>
      </c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</row>
    <row r="2" spans="1:13" ht="101.25" customHeight="1">
      <c r="A2" s="80" t="s">
        <v>47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13" ht="13.5" thickBot="1">
      <c r="A3" s="8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34" s="40" customFormat="1" ht="24.75" customHeight="1" thickBot="1">
      <c r="A4" s="71" t="s">
        <v>2</v>
      </c>
      <c r="B4" s="145">
        <v>1</v>
      </c>
      <c r="C4" s="146"/>
      <c r="D4" s="147"/>
      <c r="E4" s="145">
        <f>B4+1</f>
        <v>2</v>
      </c>
      <c r="F4" s="146"/>
      <c r="G4" s="147"/>
      <c r="H4" s="145">
        <f>+E4+1</f>
        <v>3</v>
      </c>
      <c r="I4" s="146"/>
      <c r="J4" s="147"/>
      <c r="K4" s="145">
        <f>+H4+1</f>
        <v>4</v>
      </c>
      <c r="L4" s="146"/>
      <c r="M4" s="147"/>
      <c r="N4" s="157">
        <v>5</v>
      </c>
      <c r="O4" s="158"/>
      <c r="P4" s="158"/>
      <c r="Q4" s="158"/>
      <c r="R4" s="158"/>
      <c r="S4" s="159"/>
      <c r="T4" s="157">
        <v>6</v>
      </c>
      <c r="U4" s="158"/>
      <c r="V4" s="158"/>
      <c r="W4" s="158"/>
      <c r="X4" s="158"/>
      <c r="Y4" s="159"/>
      <c r="Z4" s="157">
        <v>7</v>
      </c>
      <c r="AA4" s="158"/>
      <c r="AB4" s="158"/>
      <c r="AC4" s="158"/>
      <c r="AD4" s="158"/>
      <c r="AE4" s="158"/>
      <c r="AF4" s="158"/>
      <c r="AG4" s="158"/>
      <c r="AH4" s="159"/>
    </row>
    <row r="5" spans="1:34" ht="12.75" customHeight="1">
      <c r="A5" s="133" t="s">
        <v>3</v>
      </c>
      <c r="B5" s="136" t="s">
        <v>63</v>
      </c>
      <c r="C5" s="137"/>
      <c r="D5" s="138"/>
      <c r="E5" s="136" t="s">
        <v>64</v>
      </c>
      <c r="F5" s="137"/>
      <c r="G5" s="138"/>
      <c r="H5" s="136" t="s">
        <v>65</v>
      </c>
      <c r="I5" s="137"/>
      <c r="J5" s="138"/>
      <c r="K5" s="136" t="s">
        <v>66</v>
      </c>
      <c r="L5" s="137"/>
      <c r="M5" s="138"/>
      <c r="N5" s="160" t="s">
        <v>51</v>
      </c>
      <c r="O5" s="161"/>
      <c r="P5" s="162"/>
      <c r="Q5" s="162"/>
      <c r="R5" s="163"/>
      <c r="S5" s="164"/>
      <c r="T5" s="160" t="s">
        <v>54</v>
      </c>
      <c r="U5" s="161"/>
      <c r="V5" s="162"/>
      <c r="W5" s="162"/>
      <c r="X5" s="163"/>
      <c r="Y5" s="164"/>
      <c r="Z5" s="160" t="s">
        <v>59</v>
      </c>
      <c r="AA5" s="161"/>
      <c r="AB5" s="162"/>
      <c r="AC5" s="162"/>
      <c r="AD5" s="162"/>
      <c r="AE5" s="162"/>
      <c r="AF5" s="162"/>
      <c r="AG5" s="163"/>
      <c r="AH5" s="164"/>
    </row>
    <row r="6" spans="1:34" ht="13.5" thickBot="1">
      <c r="A6" s="134"/>
      <c r="B6" s="139"/>
      <c r="C6" s="140"/>
      <c r="D6" s="141"/>
      <c r="E6" s="139"/>
      <c r="F6" s="140"/>
      <c r="G6" s="141"/>
      <c r="H6" s="139"/>
      <c r="I6" s="140"/>
      <c r="J6" s="141"/>
      <c r="K6" s="139"/>
      <c r="L6" s="140"/>
      <c r="M6" s="141"/>
      <c r="N6" s="165"/>
      <c r="O6" s="166"/>
      <c r="P6" s="167"/>
      <c r="Q6" s="167"/>
      <c r="R6" s="168"/>
      <c r="S6" s="169"/>
      <c r="T6" s="165"/>
      <c r="U6" s="166"/>
      <c r="V6" s="167"/>
      <c r="W6" s="167"/>
      <c r="X6" s="168"/>
      <c r="Y6" s="169"/>
      <c r="Z6" s="165"/>
      <c r="AA6" s="166"/>
      <c r="AB6" s="167"/>
      <c r="AC6" s="167"/>
      <c r="AD6" s="167"/>
      <c r="AE6" s="167"/>
      <c r="AF6" s="167"/>
      <c r="AG6" s="168"/>
      <c r="AH6" s="169"/>
    </row>
    <row r="7" spans="1:34" ht="25.5" customHeight="1" thickBot="1">
      <c r="A7" s="135"/>
      <c r="B7" s="142"/>
      <c r="C7" s="143"/>
      <c r="D7" s="144"/>
      <c r="E7" s="142"/>
      <c r="F7" s="143"/>
      <c r="G7" s="144"/>
      <c r="H7" s="142"/>
      <c r="I7" s="143"/>
      <c r="J7" s="144"/>
      <c r="K7" s="142"/>
      <c r="L7" s="143"/>
      <c r="M7" s="144"/>
      <c r="N7" s="151" t="s">
        <v>52</v>
      </c>
      <c r="O7" s="152"/>
      <c r="P7" s="153"/>
      <c r="Q7" s="151" t="s">
        <v>53</v>
      </c>
      <c r="R7" s="152"/>
      <c r="S7" s="153"/>
      <c r="T7" s="151" t="s">
        <v>55</v>
      </c>
      <c r="U7" s="152"/>
      <c r="V7" s="153"/>
      <c r="W7" s="151" t="s">
        <v>56</v>
      </c>
      <c r="X7" s="152"/>
      <c r="Y7" s="153"/>
      <c r="Z7" s="151" t="s">
        <v>60</v>
      </c>
      <c r="AA7" s="152"/>
      <c r="AB7" s="153"/>
      <c r="AC7" s="170" t="s">
        <v>61</v>
      </c>
      <c r="AD7" s="171"/>
      <c r="AE7" s="172"/>
      <c r="AF7" s="151" t="s">
        <v>62</v>
      </c>
      <c r="AG7" s="152"/>
      <c r="AH7" s="153"/>
    </row>
    <row r="8" spans="1:34" ht="13.5" thickBot="1">
      <c r="A8" s="6" t="s">
        <v>0</v>
      </c>
      <c r="B8" s="64" t="s">
        <v>1</v>
      </c>
      <c r="C8" s="30" t="s">
        <v>18</v>
      </c>
      <c r="D8" s="30" t="s">
        <v>33</v>
      </c>
      <c r="E8" s="4" t="s">
        <v>1</v>
      </c>
      <c r="F8" s="5" t="s">
        <v>18</v>
      </c>
      <c r="G8" s="5" t="s">
        <v>33</v>
      </c>
      <c r="H8" s="4" t="s">
        <v>1</v>
      </c>
      <c r="I8" s="5" t="s">
        <v>18</v>
      </c>
      <c r="J8" s="5" t="s">
        <v>33</v>
      </c>
      <c r="K8" s="4" t="s">
        <v>1</v>
      </c>
      <c r="L8" s="5" t="s">
        <v>18</v>
      </c>
      <c r="M8" s="5" t="s">
        <v>33</v>
      </c>
      <c r="N8" s="4" t="s">
        <v>1</v>
      </c>
      <c r="O8" s="5" t="s">
        <v>18</v>
      </c>
      <c r="P8" s="5" t="s">
        <v>33</v>
      </c>
      <c r="Q8" s="4" t="s">
        <v>1</v>
      </c>
      <c r="R8" s="5" t="s">
        <v>18</v>
      </c>
      <c r="S8" s="5" t="s">
        <v>33</v>
      </c>
      <c r="T8" s="4" t="s">
        <v>1</v>
      </c>
      <c r="U8" s="5" t="s">
        <v>18</v>
      </c>
      <c r="V8" s="5" t="s">
        <v>33</v>
      </c>
      <c r="W8" s="4" t="s">
        <v>1</v>
      </c>
      <c r="X8" s="5" t="s">
        <v>18</v>
      </c>
      <c r="Y8" s="5" t="s">
        <v>33</v>
      </c>
      <c r="Z8" s="4" t="s">
        <v>1</v>
      </c>
      <c r="AA8" s="5" t="s">
        <v>18</v>
      </c>
      <c r="AB8" s="5" t="s">
        <v>33</v>
      </c>
      <c r="AC8" s="4" t="s">
        <v>1</v>
      </c>
      <c r="AD8" s="5" t="s">
        <v>18</v>
      </c>
      <c r="AE8" s="5" t="s">
        <v>33</v>
      </c>
      <c r="AF8" s="4" t="s">
        <v>1</v>
      </c>
      <c r="AG8" s="5" t="s">
        <v>18</v>
      </c>
      <c r="AH8" s="5" t="s">
        <v>33</v>
      </c>
    </row>
    <row r="9" spans="1:34" ht="153" customHeight="1">
      <c r="A9" s="61" t="s">
        <v>38</v>
      </c>
      <c r="B9" s="28" t="s">
        <v>67</v>
      </c>
      <c r="C9" s="67"/>
      <c r="D9" s="58" t="s">
        <v>33</v>
      </c>
      <c r="E9" s="28" t="s">
        <v>70</v>
      </c>
      <c r="F9" s="76"/>
      <c r="G9" s="58" t="s">
        <v>33</v>
      </c>
      <c r="H9" s="28" t="s">
        <v>73</v>
      </c>
      <c r="I9" s="73"/>
      <c r="J9" s="58" t="s">
        <v>33</v>
      </c>
      <c r="K9" s="28" t="s">
        <v>76</v>
      </c>
      <c r="L9" s="76" t="s">
        <v>103</v>
      </c>
      <c r="M9" s="58" t="s">
        <v>33</v>
      </c>
      <c r="N9" s="28" t="s">
        <v>80</v>
      </c>
      <c r="O9" s="103"/>
      <c r="P9" s="58" t="s">
        <v>33</v>
      </c>
      <c r="Q9" s="28" t="s">
        <v>83</v>
      </c>
      <c r="R9" s="103"/>
      <c r="S9" s="58" t="s">
        <v>33</v>
      </c>
      <c r="T9" s="28" t="s">
        <v>85</v>
      </c>
      <c r="U9" s="103"/>
      <c r="V9" s="58" t="s">
        <v>33</v>
      </c>
      <c r="W9" s="28" t="s">
        <v>86</v>
      </c>
      <c r="X9" s="103"/>
      <c r="Y9" s="58" t="s">
        <v>33</v>
      </c>
      <c r="Z9" s="28" t="s">
        <v>93</v>
      </c>
      <c r="AA9" s="103"/>
      <c r="AB9" s="58" t="s">
        <v>33</v>
      </c>
      <c r="AC9" s="28" t="s">
        <v>95</v>
      </c>
      <c r="AD9" s="103"/>
      <c r="AE9" s="58" t="s">
        <v>33</v>
      </c>
      <c r="AF9" s="28" t="s">
        <v>102</v>
      </c>
      <c r="AG9" s="103"/>
      <c r="AH9" s="58" t="s">
        <v>33</v>
      </c>
    </row>
    <row r="10" spans="1:34" ht="47.25" customHeight="1">
      <c r="A10" s="62" t="s">
        <v>35</v>
      </c>
      <c r="B10" s="68" t="s">
        <v>45</v>
      </c>
      <c r="C10" s="65"/>
      <c r="D10" s="56" t="s">
        <v>33</v>
      </c>
      <c r="E10" s="68" t="s">
        <v>71</v>
      </c>
      <c r="F10" s="75"/>
      <c r="G10" s="56" t="s">
        <v>33</v>
      </c>
      <c r="H10" s="68" t="s">
        <v>45</v>
      </c>
      <c r="I10" s="65"/>
      <c r="J10" s="56" t="s">
        <v>33</v>
      </c>
      <c r="K10" s="68" t="s">
        <v>77</v>
      </c>
      <c r="L10" s="65"/>
      <c r="M10" s="56" t="s">
        <v>33</v>
      </c>
      <c r="N10" s="92" t="s">
        <v>79</v>
      </c>
      <c r="O10" s="104"/>
      <c r="P10" s="56" t="s">
        <v>33</v>
      </c>
      <c r="Q10" s="92" t="s">
        <v>82</v>
      </c>
      <c r="R10" s="104"/>
      <c r="S10" s="56" t="s">
        <v>33</v>
      </c>
      <c r="T10" s="92" t="s">
        <v>89</v>
      </c>
      <c r="U10" s="104"/>
      <c r="V10" s="56" t="s">
        <v>33</v>
      </c>
      <c r="W10" s="92" t="s">
        <v>90</v>
      </c>
      <c r="X10" s="104"/>
      <c r="Y10" s="56" t="s">
        <v>33</v>
      </c>
      <c r="Z10" s="92" t="s">
        <v>94</v>
      </c>
      <c r="AA10" s="104"/>
      <c r="AB10" s="56" t="s">
        <v>33</v>
      </c>
      <c r="AC10" s="92" t="s">
        <v>96</v>
      </c>
      <c r="AD10" s="104"/>
      <c r="AE10" s="56" t="s">
        <v>33</v>
      </c>
      <c r="AF10" s="92" t="s">
        <v>100</v>
      </c>
      <c r="AG10" s="104"/>
      <c r="AH10" s="56" t="s">
        <v>33</v>
      </c>
    </row>
    <row r="11" spans="1:34" ht="42" customHeight="1">
      <c r="A11" s="62" t="s">
        <v>6</v>
      </c>
      <c r="B11" s="68" t="s">
        <v>69</v>
      </c>
      <c r="C11" s="66"/>
      <c r="D11" s="57" t="s">
        <v>33</v>
      </c>
      <c r="E11" s="68" t="s">
        <v>72</v>
      </c>
      <c r="F11" s="66"/>
      <c r="G11" s="57" t="s">
        <v>33</v>
      </c>
      <c r="H11" s="68" t="s">
        <v>74</v>
      </c>
      <c r="I11" s="66"/>
      <c r="J11" s="57" t="s">
        <v>33</v>
      </c>
      <c r="K11" s="68" t="s">
        <v>48</v>
      </c>
      <c r="L11" s="66"/>
      <c r="M11" s="57" t="s">
        <v>33</v>
      </c>
      <c r="N11" s="92" t="s">
        <v>48</v>
      </c>
      <c r="O11" s="104"/>
      <c r="P11" s="57" t="s">
        <v>33</v>
      </c>
      <c r="Q11" s="92" t="s">
        <v>48</v>
      </c>
      <c r="R11" s="104"/>
      <c r="S11" s="57" t="s">
        <v>33</v>
      </c>
      <c r="T11" s="92" t="s">
        <v>91</v>
      </c>
      <c r="U11" s="104"/>
      <c r="V11" s="57" t="s">
        <v>33</v>
      </c>
      <c r="W11" s="92" t="s">
        <v>92</v>
      </c>
      <c r="X11" s="104"/>
      <c r="Y11" s="57" t="s">
        <v>33</v>
      </c>
      <c r="Z11" s="92" t="s">
        <v>44</v>
      </c>
      <c r="AA11" s="104"/>
      <c r="AB11" s="57" t="s">
        <v>33</v>
      </c>
      <c r="AC11" s="92" t="s">
        <v>97</v>
      </c>
      <c r="AD11" s="104"/>
      <c r="AE11" s="57" t="s">
        <v>33</v>
      </c>
      <c r="AF11" s="92" t="s">
        <v>101</v>
      </c>
      <c r="AG11" s="104"/>
      <c r="AH11" s="57" t="s">
        <v>33</v>
      </c>
    </row>
    <row r="12" spans="1:34" ht="66.75" customHeight="1" thickBot="1">
      <c r="A12" s="63" t="s">
        <v>37</v>
      </c>
      <c r="B12" s="69" t="s">
        <v>68</v>
      </c>
      <c r="C12" s="70"/>
      <c r="D12" s="107" t="s">
        <v>33</v>
      </c>
      <c r="E12" s="69" t="s">
        <v>69</v>
      </c>
      <c r="F12" s="70"/>
      <c r="G12" s="107" t="s">
        <v>33</v>
      </c>
      <c r="H12" s="69" t="s">
        <v>75</v>
      </c>
      <c r="I12" s="70"/>
      <c r="J12" s="107" t="s">
        <v>33</v>
      </c>
      <c r="K12" s="69" t="s">
        <v>78</v>
      </c>
      <c r="L12" s="70"/>
      <c r="M12" s="107" t="s">
        <v>33</v>
      </c>
      <c r="N12" s="92" t="s">
        <v>81</v>
      </c>
      <c r="O12" s="105"/>
      <c r="P12" s="107" t="s">
        <v>33</v>
      </c>
      <c r="Q12" s="92" t="s">
        <v>84</v>
      </c>
      <c r="R12" s="105"/>
      <c r="S12" s="107" t="s">
        <v>33</v>
      </c>
      <c r="T12" s="92" t="s">
        <v>87</v>
      </c>
      <c r="U12" s="105"/>
      <c r="V12" s="107" t="s">
        <v>33</v>
      </c>
      <c r="W12" s="92" t="s">
        <v>88</v>
      </c>
      <c r="X12" s="105"/>
      <c r="Y12" s="107" t="s">
        <v>33</v>
      </c>
      <c r="Z12" s="92" t="s">
        <v>49</v>
      </c>
      <c r="AA12" s="105"/>
      <c r="AB12" s="107" t="s">
        <v>33</v>
      </c>
      <c r="AC12" s="92" t="s">
        <v>98</v>
      </c>
      <c r="AD12" s="105"/>
      <c r="AE12" s="107" t="s">
        <v>33</v>
      </c>
      <c r="AF12" s="92" t="s">
        <v>99</v>
      </c>
      <c r="AG12" s="105"/>
      <c r="AH12" s="107" t="s">
        <v>33</v>
      </c>
    </row>
    <row r="13" spans="1:34" s="37" customFormat="1" ht="24.75" customHeight="1" thickBot="1">
      <c r="A13" s="38" t="s">
        <v>4</v>
      </c>
      <c r="B13" s="148" t="str">
        <f>IF(B16=0,"CUMPLE","PENDIENTE")</f>
        <v>CUMPLE</v>
      </c>
      <c r="C13" s="149"/>
      <c r="D13" s="150"/>
      <c r="E13" s="154" t="str">
        <f>IF(E16=0,"CUMPLE","PENDIENTE")</f>
        <v>CUMPLE</v>
      </c>
      <c r="F13" s="155"/>
      <c r="G13" s="156"/>
      <c r="H13" s="154" t="str">
        <f>IF(H16=0,"CUMPLE","PENDIENTE")</f>
        <v>CUMPLE</v>
      </c>
      <c r="I13" s="155"/>
      <c r="J13" s="156"/>
      <c r="K13" s="154" t="str">
        <f>IF(K16=0,"CUMPLE","PENDIENTE")</f>
        <v>CUMPLE</v>
      </c>
      <c r="L13" s="155"/>
      <c r="M13" s="156"/>
      <c r="N13" s="154" t="str">
        <f>IF(N16=0,"CUMPLE","PENDIENTE")</f>
        <v>CUMPLE</v>
      </c>
      <c r="O13" s="155"/>
      <c r="P13" s="156"/>
      <c r="Q13" s="154" t="str">
        <f>IF(Q16=0,"CUMPLE","PENDIENTE")</f>
        <v>CUMPLE</v>
      </c>
      <c r="R13" s="155"/>
      <c r="S13" s="156"/>
      <c r="T13" s="154" t="str">
        <f>IF(T16=0,"CUMPLE","PENDIENTE")</f>
        <v>CUMPLE</v>
      </c>
      <c r="U13" s="155"/>
      <c r="V13" s="156"/>
      <c r="W13" s="154" t="str">
        <f>IF(W16=0,"CUMPLE","PENDIENTE")</f>
        <v>CUMPLE</v>
      </c>
      <c r="X13" s="155"/>
      <c r="Y13" s="156"/>
      <c r="Z13" s="154" t="str">
        <f>IF(Z16=0,"CUMPLE","PENDIENTE")</f>
        <v>CUMPLE</v>
      </c>
      <c r="AA13" s="155"/>
      <c r="AB13" s="156"/>
      <c r="AC13" s="154" t="str">
        <f>IF(AC16=0,"CUMPLE","PENDIENTE")</f>
        <v>CUMPLE</v>
      </c>
      <c r="AD13" s="155"/>
      <c r="AE13" s="156"/>
      <c r="AF13" s="154" t="str">
        <f>IF(AF16=0,"CUMPLE","PENDIENTE")</f>
        <v>CUMPLE</v>
      </c>
      <c r="AG13" s="155"/>
      <c r="AH13" s="156"/>
    </row>
    <row r="15" spans="2:32" ht="12.75" hidden="1">
      <c r="B15" t="b">
        <f>AND(D9="OK",D10="OK",D11="OK",D12="OK")</f>
        <v>1</v>
      </c>
      <c r="E15" t="b">
        <f>AND(G9="OK",G10="OK",G11="OK",G12="OK")</f>
        <v>1</v>
      </c>
      <c r="H15" t="b">
        <f>AND(J9="OK",J10="OK",J11="OK",J12="OK")</f>
        <v>1</v>
      </c>
      <c r="K15" t="b">
        <f>AND(M9="OK",M10="OK",M11="OK",M12="OK")</f>
        <v>1</v>
      </c>
      <c r="N15" t="b">
        <f>AND(P9="OK",P10="OK",P11="OK",P12="OK")</f>
        <v>1</v>
      </c>
      <c r="Q15" t="b">
        <f>AND(S9="OK",S10="OK",S11="OK",S12="OK")</f>
        <v>1</v>
      </c>
      <c r="T15" t="b">
        <f>AND(V9="OK",V10="OK",V11="OK",V12="OK")</f>
        <v>1</v>
      </c>
      <c r="W15" t="b">
        <f>AND(Y9="OK",Y10="OK",Y11="OK",Y12="OK")</f>
        <v>1</v>
      </c>
      <c r="Z15" t="b">
        <f>AND(AB9="OK",AB10="OK",AB11="OK",AB12="OK")</f>
        <v>1</v>
      </c>
      <c r="AC15" t="b">
        <f>AND(AE9="OK",AE10="OK",AE11="OK",AE12="OK")</f>
        <v>1</v>
      </c>
      <c r="AF15" t="b">
        <f>AND(AH9="OK",AH10="OK",AH11="OK",AH12="OK")</f>
        <v>1</v>
      </c>
    </row>
    <row r="16" spans="2:32" ht="12.75" hidden="1">
      <c r="B16">
        <f>IF(B15=FALSE,1,0)</f>
        <v>0</v>
      </c>
      <c r="E16">
        <f>IF(E15=FALSE,1,0)</f>
        <v>0</v>
      </c>
      <c r="H16">
        <f>IF(H15=FALSE,1,0)</f>
        <v>0</v>
      </c>
      <c r="K16">
        <f>IF(K15=FALSE,1,0)</f>
        <v>0</v>
      </c>
      <c r="N16">
        <f>IF(N15=FALSE,1,0)</f>
        <v>0</v>
      </c>
      <c r="Q16">
        <f>IF(Q15=FALSE,1,0)</f>
        <v>0</v>
      </c>
      <c r="T16">
        <f>IF(T15=FALSE,1,0)</f>
        <v>0</v>
      </c>
      <c r="W16">
        <f>IF(W15=FALSE,1,0)</f>
        <v>0</v>
      </c>
      <c r="Z16">
        <f>IF(Z15=FALSE,1,0)</f>
        <v>0</v>
      </c>
      <c r="AC16">
        <f>IF(AC15=FALSE,1,0)</f>
        <v>0</v>
      </c>
      <c r="AF16">
        <f>IF(AF15=FALSE,1,0)</f>
        <v>0</v>
      </c>
    </row>
  </sheetData>
  <sheetProtection/>
  <mergeCells count="33">
    <mergeCell ref="Q13:S13"/>
    <mergeCell ref="Z13:AB13"/>
    <mergeCell ref="AF13:AH13"/>
    <mergeCell ref="AC13:AE13"/>
    <mergeCell ref="AC7:AE7"/>
    <mergeCell ref="Z4:AH4"/>
    <mergeCell ref="Z5:AH6"/>
    <mergeCell ref="Z7:AB7"/>
    <mergeCell ref="AF7:AH7"/>
    <mergeCell ref="T13:V13"/>
    <mergeCell ref="W13:Y13"/>
    <mergeCell ref="N4:S4"/>
    <mergeCell ref="N5:S6"/>
    <mergeCell ref="T4:Y4"/>
    <mergeCell ref="T5:Y6"/>
    <mergeCell ref="T7:V7"/>
    <mergeCell ref="W7:Y7"/>
    <mergeCell ref="Q7:S7"/>
    <mergeCell ref="N13:P13"/>
    <mergeCell ref="H4:J4"/>
    <mergeCell ref="K4:M4"/>
    <mergeCell ref="B13:D13"/>
    <mergeCell ref="N7:P7"/>
    <mergeCell ref="E13:G13"/>
    <mergeCell ref="H13:J13"/>
    <mergeCell ref="K13:M13"/>
    <mergeCell ref="E5:G7"/>
    <mergeCell ref="H5:J7"/>
    <mergeCell ref="K5:M7"/>
    <mergeCell ref="A5:A7"/>
    <mergeCell ref="B5:D7"/>
    <mergeCell ref="B4:D4"/>
    <mergeCell ref="E4:G4"/>
  </mergeCells>
  <conditionalFormatting sqref="B13 E13 H13 K13 N13 Q13 T13 W13 Z13 AF13 AC13">
    <cfRule type="expression" priority="1" dxfId="111" stopIfTrue="1">
      <formula>B16=1</formula>
    </cfRule>
  </conditionalFormatting>
  <printOptions/>
  <pageMargins left="0.1968503937007874" right="0.31496062992125984" top="1.1023622047244095" bottom="0.984251968503937" header="0" footer="0"/>
  <pageSetup fitToWidth="3" horizontalDpi="200" verticalDpi="200" orientation="landscape" scale="78" r:id="rId1"/>
  <headerFooter alignWithMargins="0">
    <oddFooter>&amp;CEvaluación Convocatoria Pública 023 de 2008 &amp;RHoja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showGridLines="0" tabSelected="1" zoomScale="85" zoomScaleNormal="85" zoomScalePageLayoutView="0" workbookViewId="0" topLeftCell="A12">
      <pane xSplit="3" topLeftCell="D1" activePane="topRight" state="frozen"/>
      <selection pane="topLeft" activeCell="H25" sqref="H25"/>
      <selection pane="topRight" activeCell="F17" sqref="F17:F18"/>
    </sheetView>
  </sheetViews>
  <sheetFormatPr defaultColWidth="11.421875" defaultRowHeight="12.75"/>
  <cols>
    <col min="1" max="1" width="7.57421875" style="31" customWidth="1"/>
    <col min="2" max="2" width="39.57421875" style="2" customWidth="1"/>
    <col min="3" max="3" width="19.28125" style="2" customWidth="1"/>
    <col min="4" max="4" width="16.7109375" style="2" customWidth="1"/>
    <col min="5" max="15" width="16.140625" style="0" customWidth="1"/>
    <col min="16" max="16" width="16.00390625" style="0" customWidth="1"/>
    <col min="17" max="17" width="17.00390625" style="0" customWidth="1"/>
    <col min="18" max="18" width="14.8515625" style="0" customWidth="1"/>
    <col min="19" max="19" width="15.140625" style="0" customWidth="1"/>
    <col min="20" max="20" width="15.57421875" style="0" customWidth="1"/>
    <col min="21" max="21" width="15.8515625" style="0" customWidth="1"/>
    <col min="22" max="23" width="15.421875" style="0" customWidth="1"/>
    <col min="24" max="25" width="14.8515625" style="0" customWidth="1"/>
    <col min="26" max="26" width="16.140625" style="0" customWidth="1"/>
    <col min="27" max="27" width="14.00390625" style="0" customWidth="1"/>
    <col min="28" max="28" width="15.421875" style="0" customWidth="1"/>
  </cols>
  <sheetData>
    <row r="1" ht="12.75">
      <c r="A1" s="34" t="s">
        <v>5</v>
      </c>
    </row>
    <row r="4" ht="13.5" thickBot="1"/>
    <row r="5" spans="2:15" ht="54.75" customHeight="1">
      <c r="B5" s="192" t="str">
        <f>+'VERIFICACION DE LOS D. FINANCIE'!A1</f>
        <v>EVALUACIÓN FINANCIERA: CONVOCATORIA PUBLICA Nº 023 DE 2008</v>
      </c>
      <c r="C5" s="19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5" ht="76.5" customHeight="1" thickBot="1">
      <c r="B6" s="194" t="str">
        <f>+'VERIFICACION DE LOS D. FINANCIE'!A2</f>
        <v>OBJETO: CONTRATAR EL MANTENIMIENTO Y REPARACION DE LOS LABORATORIOS SEDE VIVERO DE LA FACULTAD DEL MEDIO AMBIENTE DE LA UNIVERSIDAD DISTRITAL FRANCISCO JOSE DE CALDAS </v>
      </c>
      <c r="C6" s="195"/>
      <c r="D6" s="90"/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8" ht="13.5" thickBot="1"/>
    <row r="9" spans="1:28" s="42" customFormat="1" ht="24.75" customHeight="1" thickBot="1">
      <c r="A9" s="41"/>
      <c r="B9" s="203" t="s">
        <v>2</v>
      </c>
      <c r="C9" s="204"/>
      <c r="D9" s="189">
        <v>1</v>
      </c>
      <c r="E9" s="190"/>
      <c r="F9" s="191"/>
      <c r="G9" s="189">
        <f>+D9+1</f>
        <v>2</v>
      </c>
      <c r="H9" s="190"/>
      <c r="I9" s="191"/>
      <c r="J9" s="189">
        <f>+G9+1</f>
        <v>3</v>
      </c>
      <c r="K9" s="190"/>
      <c r="L9" s="191"/>
      <c r="M9" s="189">
        <f>+J9+1</f>
        <v>4</v>
      </c>
      <c r="N9" s="190"/>
      <c r="O9" s="191"/>
      <c r="P9" s="189">
        <f>+M9+1</f>
        <v>5</v>
      </c>
      <c r="Q9" s="205"/>
      <c r="R9" s="205"/>
      <c r="S9" s="206"/>
      <c r="T9" s="189">
        <f>+P9+1</f>
        <v>6</v>
      </c>
      <c r="U9" s="205"/>
      <c r="V9" s="205"/>
      <c r="W9" s="206"/>
      <c r="X9" s="189">
        <f>+T9+1</f>
        <v>7</v>
      </c>
      <c r="Y9" s="205"/>
      <c r="Z9" s="205"/>
      <c r="AA9" s="205"/>
      <c r="AB9" s="206"/>
    </row>
    <row r="10" spans="2:28" ht="12.75" customHeight="1">
      <c r="B10" s="136" t="s">
        <v>3</v>
      </c>
      <c r="C10" s="176"/>
      <c r="D10" s="136" t="str">
        <f>+'VERIFICACION DE LOS D. FINANCIE'!B5</f>
        <v>CONSTRUCTORA, CONSULTORA Y PROVEEDORA MEROBEL LTDA.</v>
      </c>
      <c r="E10" s="137"/>
      <c r="F10" s="199"/>
      <c r="G10" s="136" t="str">
        <f>+'VERIFICACION DE LOS D. FINANCIE'!E5</f>
        <v>PROTELCA INGENIEROS ARQUITECTOS LTDA.</v>
      </c>
      <c r="H10" s="137"/>
      <c r="I10" s="199"/>
      <c r="J10" s="136" t="str">
        <f>+'VERIFICACION DE LOS D. FINANCIE'!H5</f>
        <v>CONSTRUCTORA LOVAJ LTDA.</v>
      </c>
      <c r="K10" s="137"/>
      <c r="L10" s="199"/>
      <c r="M10" s="136" t="str">
        <f>+'VERIFICACION DE LOS D. FINANCIE'!K5</f>
        <v>CONSTRUCCIONES MASTER Y CIA LTDA.</v>
      </c>
      <c r="N10" s="137"/>
      <c r="O10" s="199"/>
      <c r="P10" s="136" t="str">
        <f>+'VERIFICACION DE LOS D. FINANCIE'!N5</f>
        <v>CONSORCIO TORO RAMIREZ</v>
      </c>
      <c r="Q10" s="137"/>
      <c r="R10" s="137"/>
      <c r="S10" s="199"/>
      <c r="T10" s="136" t="str">
        <f>+'VERIFICACION DE LOS D. FINANCIE'!T5</f>
        <v>CONSORCIO L &amp; L CONTRUCCIONES</v>
      </c>
      <c r="U10" s="137"/>
      <c r="V10" s="137"/>
      <c r="W10" s="199"/>
      <c r="X10" s="136" t="str">
        <f>+'VERIFICACION DE LOS D. FINANCIE'!Z5</f>
        <v>CONSORCIO EDIMAT</v>
      </c>
      <c r="Y10" s="137"/>
      <c r="Z10" s="137"/>
      <c r="AA10" s="137"/>
      <c r="AB10" s="199"/>
    </row>
    <row r="11" spans="2:28" ht="13.5" thickBot="1">
      <c r="B11" s="139"/>
      <c r="C11" s="177"/>
      <c r="D11" s="139"/>
      <c r="E11" s="140"/>
      <c r="F11" s="200"/>
      <c r="G11" s="139"/>
      <c r="H11" s="140"/>
      <c r="I11" s="200"/>
      <c r="J11" s="139"/>
      <c r="K11" s="140"/>
      <c r="L11" s="200"/>
      <c r="M11" s="139"/>
      <c r="N11" s="140"/>
      <c r="O11" s="200"/>
      <c r="P11" s="151"/>
      <c r="Q11" s="152"/>
      <c r="R11" s="152"/>
      <c r="S11" s="153"/>
      <c r="T11" s="151"/>
      <c r="U11" s="152"/>
      <c r="V11" s="152"/>
      <c r="W11" s="153"/>
      <c r="X11" s="151"/>
      <c r="Y11" s="152"/>
      <c r="Z11" s="152"/>
      <c r="AA11" s="152"/>
      <c r="AB11" s="153"/>
    </row>
    <row r="12" spans="2:28" ht="51.75" thickBot="1">
      <c r="B12" s="142"/>
      <c r="C12" s="178"/>
      <c r="D12" s="151"/>
      <c r="E12" s="152"/>
      <c r="F12" s="153"/>
      <c r="G12" s="151"/>
      <c r="H12" s="152"/>
      <c r="I12" s="153"/>
      <c r="J12" s="151"/>
      <c r="K12" s="152"/>
      <c r="L12" s="153"/>
      <c r="M12" s="151"/>
      <c r="N12" s="152"/>
      <c r="O12" s="153"/>
      <c r="P12" s="85" t="str">
        <f>+'VERIFICACION DE LOS D. FINANCIE'!N7</f>
        <v>GONZALO ROMERO LOZADA</v>
      </c>
      <c r="Q12" s="86" t="str">
        <f>+'VERIFICACION DE LOS D. FINANCIE'!Q7</f>
        <v>JOSE PEDRO TOVAR PENAGOS</v>
      </c>
      <c r="R12" s="82"/>
      <c r="S12" s="83"/>
      <c r="T12" s="85" t="str">
        <f>+'VERIFICACION DE LOS D. FINANCIE'!T7</f>
        <v>FERNANDO LANCHEROS PEDRAZA</v>
      </c>
      <c r="U12" s="86" t="str">
        <f>+'VERIFICACION DE LOS D. FINANCIE'!W7</f>
        <v>HERNANDO LANCHEROS IBAÑEZ</v>
      </c>
      <c r="V12" s="82"/>
      <c r="W12" s="83"/>
      <c r="X12" s="85" t="str">
        <f>+'VERIFICACION DE LOS D. FINANCIE'!Z7</f>
        <v>EDILBERTO MATEUS ALVAREZ</v>
      </c>
      <c r="Y12" s="106" t="str">
        <f>+'VERIFICACION DE LOS D. FINANCIE'!AC7</f>
        <v>JOHN WILLIAM CASALLAS JURADO</v>
      </c>
      <c r="Z12" s="86" t="str">
        <f>+'VERIFICACION DE LOS D. FINANCIE'!AF7</f>
        <v>TRAING TRABAJOS DE INGENIERIA LTDA.</v>
      </c>
      <c r="AA12" s="82"/>
      <c r="AB12" s="83"/>
    </row>
    <row r="13" spans="1:28" s="3" customFormat="1" ht="25.5" customHeight="1" thickBot="1">
      <c r="A13" s="1"/>
      <c r="B13" s="170" t="s">
        <v>10</v>
      </c>
      <c r="C13" s="179"/>
      <c r="D13" s="201" t="s">
        <v>11</v>
      </c>
      <c r="E13" s="202"/>
      <c r="F13" s="179"/>
      <c r="G13" s="201" t="s">
        <v>11</v>
      </c>
      <c r="H13" s="202"/>
      <c r="I13" s="179"/>
      <c r="J13" s="201" t="s">
        <v>11</v>
      </c>
      <c r="K13" s="202"/>
      <c r="L13" s="179"/>
      <c r="M13" s="201" t="s">
        <v>11</v>
      </c>
      <c r="N13" s="202"/>
      <c r="O13" s="179"/>
      <c r="P13" s="93">
        <v>0.2</v>
      </c>
      <c r="Q13" s="93">
        <v>0.8</v>
      </c>
      <c r="R13" s="94"/>
      <c r="S13" s="95"/>
      <c r="T13" s="93">
        <v>0.4</v>
      </c>
      <c r="U13" s="93">
        <v>0.6</v>
      </c>
      <c r="V13" s="94"/>
      <c r="W13" s="95"/>
      <c r="X13" s="93">
        <v>0.34</v>
      </c>
      <c r="Y13" s="93">
        <v>0.33</v>
      </c>
      <c r="Z13" s="93">
        <v>0.33</v>
      </c>
      <c r="AA13" s="94"/>
      <c r="AB13" s="95"/>
    </row>
    <row r="14" spans="2:28" ht="13.5" thickBot="1">
      <c r="B14" s="7" t="s">
        <v>0</v>
      </c>
      <c r="C14" s="12" t="s">
        <v>12</v>
      </c>
      <c r="D14" s="7" t="s">
        <v>8</v>
      </c>
      <c r="E14" s="13" t="s">
        <v>7</v>
      </c>
      <c r="F14" s="14" t="s">
        <v>9</v>
      </c>
      <c r="G14" s="7" t="s">
        <v>8</v>
      </c>
      <c r="H14" s="29" t="s">
        <v>7</v>
      </c>
      <c r="I14" s="30" t="s">
        <v>9</v>
      </c>
      <c r="J14" s="7" t="s">
        <v>8</v>
      </c>
      <c r="K14" s="29" t="s">
        <v>7</v>
      </c>
      <c r="L14" s="30" t="s">
        <v>9</v>
      </c>
      <c r="M14" s="7" t="s">
        <v>8</v>
      </c>
      <c r="N14" s="29" t="s">
        <v>7</v>
      </c>
      <c r="O14" s="30" t="s">
        <v>9</v>
      </c>
      <c r="P14" s="96" t="s">
        <v>8</v>
      </c>
      <c r="Q14" s="96" t="s">
        <v>8</v>
      </c>
      <c r="R14" s="97" t="s">
        <v>7</v>
      </c>
      <c r="S14" s="98" t="s">
        <v>9</v>
      </c>
      <c r="T14" s="96" t="s">
        <v>8</v>
      </c>
      <c r="U14" s="96" t="s">
        <v>8</v>
      </c>
      <c r="V14" s="97" t="s">
        <v>7</v>
      </c>
      <c r="W14" s="98" t="s">
        <v>9</v>
      </c>
      <c r="X14" s="96" t="s">
        <v>8</v>
      </c>
      <c r="Y14" s="96" t="s">
        <v>8</v>
      </c>
      <c r="Z14" s="96" t="s">
        <v>8</v>
      </c>
      <c r="AA14" s="97" t="s">
        <v>7</v>
      </c>
      <c r="AB14" s="98" t="s">
        <v>9</v>
      </c>
    </row>
    <row r="15" spans="1:28" ht="31.5" customHeight="1">
      <c r="A15" s="35">
        <v>0.8</v>
      </c>
      <c r="B15" s="180" t="s">
        <v>40</v>
      </c>
      <c r="C15" s="8" t="s">
        <v>13</v>
      </c>
      <c r="D15" s="27">
        <v>49479.298</v>
      </c>
      <c r="E15" s="183">
        <f>+IF(D15="","",D15/D16)</f>
        <v>0.1301742375846138</v>
      </c>
      <c r="F15" s="196" t="str">
        <f>IF(E15&lt;=$A15,"CUMPLE","NO CUMPLE")</f>
        <v>CUMPLE</v>
      </c>
      <c r="G15" s="27">
        <v>120240.825</v>
      </c>
      <c r="H15" s="183">
        <f>+IF(G15="","",G15/G16)</f>
        <v>0.21567579969684486</v>
      </c>
      <c r="I15" s="196" t="str">
        <f>+IF(H15&lt;=$A15,"CUMPLE","NO CUMPLE")</f>
        <v>CUMPLE</v>
      </c>
      <c r="J15" s="27">
        <v>86291</v>
      </c>
      <c r="K15" s="183">
        <f>+IF(J15="","",J15/J16)</f>
        <v>0.08217515145143439</v>
      </c>
      <c r="L15" s="196" t="str">
        <f>+IF(K15&lt;=$A15,"CUMPLE","NO CUMPLE")</f>
        <v>CUMPLE</v>
      </c>
      <c r="M15" s="27">
        <v>19</v>
      </c>
      <c r="N15" s="183">
        <f>+IF(M15="","",M15/M16)</f>
        <v>7.591449932136234E-05</v>
      </c>
      <c r="O15" s="196" t="str">
        <f>+IF(N15&lt;=$A15,"CUMPLE","NO CUMPLE")</f>
        <v>CUMPLE</v>
      </c>
      <c r="P15" s="27">
        <v>5400</v>
      </c>
      <c r="Q15" s="27">
        <v>72851.512</v>
      </c>
      <c r="R15" s="183">
        <f>+IF(P15="","",(((P15*P13)+(Q15*Q13))/((P16*P13)+(Q16*Q13))))</f>
        <v>0.14955270684460292</v>
      </c>
      <c r="S15" s="196" t="str">
        <f>IF(R15&lt;=$A15,"CUMPLE","NO CUMPLE")</f>
        <v>CUMPLE</v>
      </c>
      <c r="T15" s="27">
        <v>18558</v>
      </c>
      <c r="U15" s="27">
        <v>222010.76</v>
      </c>
      <c r="V15" s="183">
        <f>+IF(T15="","",(((T15*T13)+(U15*U13))/((T16*T13)+(U16*U13))))</f>
        <v>0.2033783025567671</v>
      </c>
      <c r="W15" s="196" t="str">
        <f>IF(V15&lt;=$A15,"CUMPLE","NO CUMPLE")</f>
        <v>CUMPLE</v>
      </c>
      <c r="X15" s="27">
        <v>146271.193</v>
      </c>
      <c r="Y15" s="27">
        <v>142083.775</v>
      </c>
      <c r="Z15" s="27">
        <v>941334</v>
      </c>
      <c r="AA15" s="183">
        <f>+IF(X15="","",(((X15*X13)+(Y15*Y13)+(Z15*Z13))/((X16*X13)+(Y16*Y13)+(Z16*Z13))))</f>
        <v>0.3523916809150912</v>
      </c>
      <c r="AB15" s="196" t="str">
        <f>IF(AA15&lt;=$A15,"CUMPLE","NO CUMPLE")</f>
        <v>CUMPLE</v>
      </c>
    </row>
    <row r="16" spans="2:28" ht="31.5" customHeight="1" thickBot="1">
      <c r="B16" s="181"/>
      <c r="C16" s="9" t="s">
        <v>14</v>
      </c>
      <c r="D16" s="18">
        <v>380100.54</v>
      </c>
      <c r="E16" s="184"/>
      <c r="F16" s="175"/>
      <c r="G16" s="18">
        <v>557507.264</v>
      </c>
      <c r="H16" s="184"/>
      <c r="I16" s="175"/>
      <c r="J16" s="18">
        <v>1050086.291</v>
      </c>
      <c r="K16" s="184"/>
      <c r="L16" s="175"/>
      <c r="M16" s="18">
        <v>250281.569</v>
      </c>
      <c r="N16" s="184"/>
      <c r="O16" s="175"/>
      <c r="P16" s="18">
        <v>88390</v>
      </c>
      <c r="Q16" s="18">
        <v>474058.762</v>
      </c>
      <c r="R16" s="184"/>
      <c r="S16" s="175"/>
      <c r="T16" s="18">
        <v>417705</v>
      </c>
      <c r="U16" s="18">
        <v>873977.223</v>
      </c>
      <c r="V16" s="184"/>
      <c r="W16" s="175"/>
      <c r="X16" s="18">
        <v>491923.301</v>
      </c>
      <c r="Y16" s="18">
        <v>594106.793</v>
      </c>
      <c r="Z16" s="18">
        <v>2401193</v>
      </c>
      <c r="AA16" s="184"/>
      <c r="AB16" s="175"/>
    </row>
    <row r="17" spans="1:28" ht="31.5" customHeight="1">
      <c r="A17" s="35">
        <v>0.4</v>
      </c>
      <c r="B17" s="182" t="s">
        <v>42</v>
      </c>
      <c r="C17" s="10" t="s">
        <v>15</v>
      </c>
      <c r="D17" s="18">
        <v>156750.54</v>
      </c>
      <c r="E17" s="174">
        <f>+IF(D17="","",D17-D18)</f>
        <v>107271.242</v>
      </c>
      <c r="F17" s="175" t="str">
        <f>+IF(E17&gt;=D$33,"CUMPLE"," NO CUMPLE")</f>
        <v> NO CUMPLE</v>
      </c>
      <c r="G17" s="18">
        <v>504829.726</v>
      </c>
      <c r="H17" s="174">
        <f>+IF(G17="","",G17-G18)</f>
        <v>439713.93000000005</v>
      </c>
      <c r="I17" s="175" t="str">
        <f>+IF(H17&gt;=G$33,"CUMPLE"," NO CUMPLE")</f>
        <v>CUMPLE</v>
      </c>
      <c r="J17" s="18">
        <v>898190.757</v>
      </c>
      <c r="K17" s="174">
        <f>+IF(J17="","",J17-J18)</f>
        <v>811899.757</v>
      </c>
      <c r="L17" s="175" t="str">
        <f>+IF(K17&gt;=J$33,"CUMPLE"," NO CUMPLE")</f>
        <v>CUMPLE</v>
      </c>
      <c r="M17" s="18">
        <v>177790.499</v>
      </c>
      <c r="N17" s="174">
        <f>+IF(M17="","",M17-M18)</f>
        <v>177771.499</v>
      </c>
      <c r="O17" s="175" t="str">
        <f>+IF(N17&gt;=M$33,"CUMPLE"," NO CUMPLE")</f>
        <v>CUMPLE</v>
      </c>
      <c r="P17" s="18">
        <v>32890</v>
      </c>
      <c r="Q17" s="18">
        <v>225213.762</v>
      </c>
      <c r="R17" s="174">
        <f>+IF(P17="","",(((P17*P13)+(Q17*Q13))-((P18*P13)+(Q18*Q13))))</f>
        <v>183697.80959999998</v>
      </c>
      <c r="S17" s="175" t="str">
        <f>+IF(R17&gt;=Q$33,"CUMPLE"," NO CUMPLE")</f>
        <v>CUMPLE</v>
      </c>
      <c r="T17" s="18">
        <v>122605</v>
      </c>
      <c r="U17" s="18">
        <v>275758.136</v>
      </c>
      <c r="V17" s="174">
        <f>+IF(T17="","",(((T17*T13)+(U17*U13))-((T18*T13)+(U18*U13))))</f>
        <v>173620.2292</v>
      </c>
      <c r="W17" s="175" t="str">
        <f>+IF(V17&gt;=U$33,"CUMPLE"," NO CUMPLE")</f>
        <v>CUMPLE</v>
      </c>
      <c r="X17" s="18">
        <v>242825.357</v>
      </c>
      <c r="Y17" s="18">
        <f>155895.519+202418.008+19756.858</f>
        <v>378070.385</v>
      </c>
      <c r="Z17" s="18">
        <v>1842923</v>
      </c>
      <c r="AA17" s="174">
        <f>+IF(X17="","",(((X17*X13)+(Y17*Y13)+(Z17*Z13))-((X18*X13)+(Y18*Y13)+(Z18*Z13))))</f>
        <v>685257.4516</v>
      </c>
      <c r="AB17" s="175" t="str">
        <f>+IF(AA17&gt;=Z$33,"CUMPLE"," NO CUMPLE")</f>
        <v>CUMPLE</v>
      </c>
    </row>
    <row r="18" spans="2:28" ht="31.5" customHeight="1" thickBot="1">
      <c r="B18" s="181"/>
      <c r="C18" s="11" t="s">
        <v>16</v>
      </c>
      <c r="D18" s="18">
        <v>49479.298</v>
      </c>
      <c r="E18" s="174"/>
      <c r="F18" s="175"/>
      <c r="G18" s="18">
        <v>65115.796</v>
      </c>
      <c r="H18" s="174"/>
      <c r="I18" s="175"/>
      <c r="J18" s="18">
        <v>86291</v>
      </c>
      <c r="K18" s="174"/>
      <c r="L18" s="175"/>
      <c r="M18" s="18">
        <v>19</v>
      </c>
      <c r="N18" s="174"/>
      <c r="O18" s="175"/>
      <c r="P18" s="18">
        <v>5400</v>
      </c>
      <c r="Q18" s="18">
        <v>2464</v>
      </c>
      <c r="R18" s="174"/>
      <c r="S18" s="175"/>
      <c r="T18" s="18">
        <v>18558</v>
      </c>
      <c r="U18" s="18">
        <v>55755.754</v>
      </c>
      <c r="V18" s="174"/>
      <c r="W18" s="175"/>
      <c r="X18" s="18">
        <v>50594.479</v>
      </c>
      <c r="Y18" s="18">
        <f>5000+1500+456.433+7568.544+35457.732+19890</f>
        <v>69872.709</v>
      </c>
      <c r="Z18" s="18">
        <v>272639</v>
      </c>
      <c r="AA18" s="174"/>
      <c r="AB18" s="175"/>
    </row>
    <row r="19" spans="1:28" ht="31.5" customHeight="1">
      <c r="A19" s="31">
        <v>1.2</v>
      </c>
      <c r="B19" s="185" t="s">
        <v>39</v>
      </c>
      <c r="C19" s="10" t="s">
        <v>15</v>
      </c>
      <c r="D19" s="18">
        <f>+D17</f>
        <v>156750.54</v>
      </c>
      <c r="E19" s="173">
        <f>+IF(D19="","",D19/D20)</f>
        <v>3.168002504805141</v>
      </c>
      <c r="F19" s="175" t="str">
        <f>+IF(E19&gt;=1,"CUMPLE","NO CUMPLE")</f>
        <v>CUMPLE</v>
      </c>
      <c r="G19" s="18">
        <f>+G17</f>
        <v>504829.726</v>
      </c>
      <c r="H19" s="173">
        <f>+IF(G19="","",G19/G20)</f>
        <v>7.752799735412895</v>
      </c>
      <c r="I19" s="175" t="str">
        <f>+IF(H19&gt;=1,"CUMPLE","NO CUMPLE")</f>
        <v>CUMPLE</v>
      </c>
      <c r="J19" s="18">
        <f>+J17</f>
        <v>898190.757</v>
      </c>
      <c r="K19" s="173">
        <f>+IF(J19="","",J19/J20)</f>
        <v>10.408857899433313</v>
      </c>
      <c r="L19" s="175" t="str">
        <f>+IF(K19&gt;=$A$19,"CUMPLE","NO CUMPLE")</f>
        <v>CUMPLE</v>
      </c>
      <c r="M19" s="18">
        <f>+M17</f>
        <v>177790.499</v>
      </c>
      <c r="N19" s="173">
        <f>+IF(M19="","",M19/M20)</f>
        <v>9357.394684210527</v>
      </c>
      <c r="O19" s="175" t="str">
        <f>+IF(N19&gt;=$A$19,"CUMPLE","NO CUMPLE")</f>
        <v>CUMPLE</v>
      </c>
      <c r="P19" s="18">
        <f>+P17</f>
        <v>32890</v>
      </c>
      <c r="Q19" s="84">
        <f>+Q17</f>
        <v>225213.762</v>
      </c>
      <c r="R19" s="173">
        <f>+IF(P19="","",(((P19*P13)+(Q19*Q13))/((P20*P13)+(Q20*Q13))))</f>
        <v>61.2051027792344</v>
      </c>
      <c r="S19" s="175" t="str">
        <f>+IF(R19&gt;=$A19,"CUMPLE","NO CUMPLE")</f>
        <v>CUMPLE</v>
      </c>
      <c r="T19" s="18">
        <f>+T17</f>
        <v>122605</v>
      </c>
      <c r="U19" s="84">
        <f>+U17</f>
        <v>275758.136</v>
      </c>
      <c r="V19" s="173">
        <f>+IF(T19="","",(((T19*T13)+(U19*U13))/((T20*T13)+(U20*U13))))</f>
        <v>5.247418000403574</v>
      </c>
      <c r="W19" s="175" t="str">
        <f>+IF(V19&gt;=$A19,"CUMPLE","NO CUMPLE")</f>
        <v>CUMPLE</v>
      </c>
      <c r="X19" s="18">
        <f aca="true" t="shared" si="0" ref="X19:Z20">+X17</f>
        <v>242825.357</v>
      </c>
      <c r="Y19" s="84">
        <f t="shared" si="0"/>
        <v>378070.385</v>
      </c>
      <c r="Z19" s="84">
        <f t="shared" si="0"/>
        <v>1842923</v>
      </c>
      <c r="AA19" s="173">
        <f>+IF(X19="","",(((X19*X13)+(Y19*Y13)+(Z19*Z13))/((X20*X13)+(Y20*Y13)+(Z20*Z13))))</f>
        <v>6.261861775604269</v>
      </c>
      <c r="AB19" s="175" t="str">
        <f>+IF(AA19&gt;=$A19,"CUMPLE","NO CUMPLE")</f>
        <v>CUMPLE</v>
      </c>
    </row>
    <row r="20" spans="2:28" ht="31.5" customHeight="1" thickBot="1">
      <c r="B20" s="181"/>
      <c r="C20" s="99" t="s">
        <v>16</v>
      </c>
      <c r="D20" s="18">
        <f>+D18</f>
        <v>49479.298</v>
      </c>
      <c r="E20" s="173"/>
      <c r="F20" s="175"/>
      <c r="G20" s="18">
        <f>+G18</f>
        <v>65115.796</v>
      </c>
      <c r="H20" s="173"/>
      <c r="I20" s="175"/>
      <c r="J20" s="18">
        <f>+J18</f>
        <v>86291</v>
      </c>
      <c r="K20" s="173"/>
      <c r="L20" s="175"/>
      <c r="M20" s="18">
        <f>+M18</f>
        <v>19</v>
      </c>
      <c r="N20" s="173"/>
      <c r="O20" s="175"/>
      <c r="P20" s="18">
        <f>+P18</f>
        <v>5400</v>
      </c>
      <c r="Q20" s="84">
        <f>+Q18</f>
        <v>2464</v>
      </c>
      <c r="R20" s="173"/>
      <c r="S20" s="175"/>
      <c r="T20" s="18">
        <f>+T18</f>
        <v>18558</v>
      </c>
      <c r="U20" s="84">
        <f>+U18</f>
        <v>55755.754</v>
      </c>
      <c r="V20" s="173"/>
      <c r="W20" s="175"/>
      <c r="X20" s="18">
        <f t="shared" si="0"/>
        <v>50594.479</v>
      </c>
      <c r="Y20" s="84">
        <f t="shared" si="0"/>
        <v>69872.709</v>
      </c>
      <c r="Z20" s="84">
        <f t="shared" si="0"/>
        <v>272639</v>
      </c>
      <c r="AA20" s="173"/>
      <c r="AB20" s="175"/>
    </row>
    <row r="21" spans="1:28" ht="27" customHeight="1">
      <c r="A21" s="31">
        <v>1.5</v>
      </c>
      <c r="B21" s="186" t="s">
        <v>58</v>
      </c>
      <c r="C21" s="101" t="s">
        <v>57</v>
      </c>
      <c r="D21" s="18">
        <f>+D29/1000</f>
        <v>294180.331</v>
      </c>
      <c r="E21" s="173">
        <f>+IF(D21="","",D21/D22)</f>
        <v>0.8897804908736022</v>
      </c>
      <c r="F21" s="175" t="str">
        <f>+IF(E21&lt;=$A$21,"CUMPLE","NO CUMPLE")</f>
        <v>CUMPLE</v>
      </c>
      <c r="G21" s="18">
        <f>+G29/1000</f>
        <v>0</v>
      </c>
      <c r="H21" s="173">
        <f>+IF(G21="","",G21/G22)</f>
        <v>0</v>
      </c>
      <c r="I21" s="175" t="str">
        <f>+IF(H21&lt;=$A21,"CUMPLE","NO CUMPLE")</f>
        <v>CUMPLE</v>
      </c>
      <c r="J21" s="18">
        <f>+J29/1000</f>
        <v>278963.882</v>
      </c>
      <c r="K21" s="173">
        <f>+IF(J21="","",J21/J22)</f>
        <v>0.2894430846518838</v>
      </c>
      <c r="L21" s="175" t="str">
        <f>+IF(K21&lt;=$A21,"CUMPLE","NO CUMPLE")</f>
        <v>CUMPLE</v>
      </c>
      <c r="M21" s="18">
        <f>+M29/1000</f>
        <v>286095.245</v>
      </c>
      <c r="N21" s="173">
        <f>+IF(M21="","",M21/M22)</f>
        <v>1.1431803251408323</v>
      </c>
      <c r="O21" s="175" t="str">
        <f>+IF(N21&lt;=$A21,"CUMPLE","NO CUMPLE")</f>
        <v>CUMPLE</v>
      </c>
      <c r="P21" s="18">
        <f>+Q31/1000</f>
        <v>291205.276</v>
      </c>
      <c r="Q21" s="84">
        <f>+Q31/1000</f>
        <v>291205.276</v>
      </c>
      <c r="R21" s="173">
        <f>+IF(P21="","",(((P21*P13)+(Q21*Q13))/((P22*P13)+(Q22*Q13))))</f>
        <v>0.8626673713235837</v>
      </c>
      <c r="S21" s="175" t="str">
        <f>+IF(R21&lt;=$A21,"CUMPLE","NO CUMPLE")</f>
        <v>CUMPLE</v>
      </c>
      <c r="T21" s="18">
        <f>+U31/1000</f>
        <v>293098.624</v>
      </c>
      <c r="U21" s="84">
        <f>+U31/1000</f>
        <v>293098.624</v>
      </c>
      <c r="V21" s="173">
        <f>+IF(T21="","",(((T21*T13)+(U21*U13))/((T22*T13)+(U22*U13))))</f>
        <v>0.5320952137395463</v>
      </c>
      <c r="W21" s="175" t="str">
        <f>+IF(V21&lt;=$A21,"CUMPLE","NO CUMPLE")</f>
        <v>CUMPLE</v>
      </c>
      <c r="X21" s="18">
        <f>+Z31/1000</f>
        <v>287905.237</v>
      </c>
      <c r="Y21" s="84">
        <f>+Z31/1000</f>
        <v>287905.237</v>
      </c>
      <c r="Z21" s="84">
        <f>+Z31/1000</f>
        <v>287905.237</v>
      </c>
      <c r="AA21" s="173">
        <f>+IF(X21="","",(((X21*X13)+(Y21*Y13)+(Z21*Z13))/((X22*X13)+(Y22*Y13)+(Z22*Z13))))</f>
        <v>0.38467234058530386</v>
      </c>
      <c r="AB21" s="175" t="str">
        <f>+IF(AA21&lt;=$A21,"CUMPLE","NO CUMPLE")</f>
        <v>CUMPLE</v>
      </c>
    </row>
    <row r="22" spans="2:28" ht="23.25" customHeight="1" thickBot="1">
      <c r="B22" s="181"/>
      <c r="C22" s="102" t="s">
        <v>50</v>
      </c>
      <c r="D22" s="74">
        <f>+D16-D15</f>
        <v>330621.24199999997</v>
      </c>
      <c r="E22" s="187"/>
      <c r="F22" s="188"/>
      <c r="G22" s="74">
        <f>+G16-G15</f>
        <v>437266.43899999995</v>
      </c>
      <c r="H22" s="187"/>
      <c r="I22" s="188"/>
      <c r="J22" s="74">
        <f>+J16-J15</f>
        <v>963795.291</v>
      </c>
      <c r="K22" s="187"/>
      <c r="L22" s="188"/>
      <c r="M22" s="74">
        <f>+M16-M15</f>
        <v>250262.569</v>
      </c>
      <c r="N22" s="187"/>
      <c r="O22" s="188"/>
      <c r="P22" s="74">
        <f>+P16-P15</f>
        <v>82990</v>
      </c>
      <c r="Q22" s="91">
        <f>+Q16-Q15</f>
        <v>401207.25</v>
      </c>
      <c r="R22" s="187"/>
      <c r="S22" s="188"/>
      <c r="T22" s="74">
        <f>+T16-T15</f>
        <v>399147</v>
      </c>
      <c r="U22" s="91">
        <f>+U16-U15</f>
        <v>651966.463</v>
      </c>
      <c r="V22" s="187"/>
      <c r="W22" s="188"/>
      <c r="X22" s="74">
        <f>+X16-X15</f>
        <v>345652.108</v>
      </c>
      <c r="Y22" s="91">
        <f>+Y16-Y15</f>
        <v>452023.0179999999</v>
      </c>
      <c r="Z22" s="91">
        <f>+Z16-Z15</f>
        <v>1459859</v>
      </c>
      <c r="AA22" s="187"/>
      <c r="AB22" s="188"/>
    </row>
    <row r="23" spans="2:28" ht="13.5" thickBot="1">
      <c r="B23" s="39" t="s">
        <v>4</v>
      </c>
      <c r="C23" s="100"/>
      <c r="D23" s="170" t="str">
        <f>IF(F36=TRUE,"CUMPLE","NO CUMPLE")</f>
        <v>NO CUMPLE</v>
      </c>
      <c r="E23" s="171"/>
      <c r="F23" s="172"/>
      <c r="G23" s="170" t="str">
        <f>IF(I36=TRUE,"CUMPLE","NO CUMPLE")</f>
        <v>CUMPLE</v>
      </c>
      <c r="H23" s="171"/>
      <c r="I23" s="172"/>
      <c r="J23" s="170" t="str">
        <f>IF(L36=TRUE,"CUMPLE","NO CUMPLE")</f>
        <v>CUMPLE</v>
      </c>
      <c r="K23" s="171"/>
      <c r="L23" s="172"/>
      <c r="M23" s="170" t="str">
        <f>IF(O36=TRUE,"CUMPLE","NO CUMPLE")</f>
        <v>CUMPLE</v>
      </c>
      <c r="N23" s="171"/>
      <c r="O23" s="172"/>
      <c r="P23" s="151" t="str">
        <f>IF(S36=TRUE,"CUMPLE","NO CUMPLE")</f>
        <v>CUMPLE</v>
      </c>
      <c r="Q23" s="152"/>
      <c r="R23" s="152"/>
      <c r="S23" s="153"/>
      <c r="T23" s="151" t="str">
        <f>IF(W36=TRUE,"CUMPLE","NO CUMPLE")</f>
        <v>CUMPLE</v>
      </c>
      <c r="U23" s="152"/>
      <c r="V23" s="152"/>
      <c r="W23" s="153"/>
      <c r="X23" s="151" t="str">
        <f>IF(AB36=TRUE,"CUMPLE","NO CUMPLE")</f>
        <v>CUMPLE</v>
      </c>
      <c r="Y23" s="152"/>
      <c r="Z23" s="152"/>
      <c r="AA23" s="152"/>
      <c r="AB23" s="153"/>
    </row>
    <row r="25" spans="2:28" ht="16.5">
      <c r="B25" s="54"/>
      <c r="C25" s="55"/>
      <c r="D25" s="45"/>
      <c r="E25" s="46"/>
      <c r="F25" s="46"/>
      <c r="G25" s="48"/>
      <c r="H25" s="46"/>
      <c r="I25" s="46"/>
      <c r="J25" s="49"/>
      <c r="K25" s="46"/>
      <c r="L25" s="46"/>
      <c r="M25" s="50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2:28" ht="16.5">
      <c r="B26" s="54"/>
      <c r="C26" s="55"/>
      <c r="D26" s="45"/>
      <c r="E26" s="46"/>
      <c r="F26" s="46"/>
      <c r="G26" s="48"/>
      <c r="H26" s="46"/>
      <c r="I26" s="46"/>
      <c r="J26" s="49"/>
      <c r="K26" s="46"/>
      <c r="L26" s="46"/>
      <c r="M26" s="5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2:28" ht="14.25">
      <c r="B27" s="59" t="s">
        <v>36</v>
      </c>
      <c r="C27" s="60">
        <v>297000000</v>
      </c>
      <c r="D27" s="45"/>
      <c r="E27" s="46"/>
      <c r="F27" s="46"/>
      <c r="G27" s="48"/>
      <c r="H27" s="46"/>
      <c r="I27" s="46"/>
      <c r="J27" s="49"/>
      <c r="K27" s="46"/>
      <c r="L27" s="46"/>
      <c r="M27" s="50"/>
      <c r="N27" s="46"/>
      <c r="O27" s="46"/>
      <c r="P27" s="46"/>
      <c r="R27" s="51"/>
      <c r="S27" s="51"/>
      <c r="T27" s="46"/>
      <c r="V27" s="51"/>
      <c r="W27" s="51"/>
      <c r="X27" s="46"/>
      <c r="Y27" s="46"/>
      <c r="AA27" s="51"/>
      <c r="AB27" s="51"/>
    </row>
    <row r="28" spans="2:28" ht="16.5">
      <c r="B28" s="54"/>
      <c r="C28" s="55"/>
      <c r="D28" s="45"/>
      <c r="E28" s="46"/>
      <c r="F28" s="46"/>
      <c r="G28" s="47"/>
      <c r="H28" s="46"/>
      <c r="I28" s="46"/>
      <c r="J28" s="47"/>
      <c r="K28" s="46"/>
      <c r="L28" s="46"/>
      <c r="M28" s="47"/>
      <c r="N28" s="46"/>
      <c r="O28" s="46"/>
      <c r="P28" s="46"/>
      <c r="R28" s="46"/>
      <c r="S28" s="46"/>
      <c r="T28" s="46"/>
      <c r="V28" s="46"/>
      <c r="W28" s="46"/>
      <c r="X28" s="46"/>
      <c r="Y28" s="46"/>
      <c r="AA28" s="46"/>
      <c r="AB28" s="46"/>
    </row>
    <row r="29" spans="2:28" ht="12.75">
      <c r="B29" s="59" t="s">
        <v>41</v>
      </c>
      <c r="D29" s="87">
        <v>294180331</v>
      </c>
      <c r="E29" s="51"/>
      <c r="F29" s="51"/>
      <c r="G29" s="87">
        <v>0</v>
      </c>
      <c r="H29" s="51"/>
      <c r="I29" s="51"/>
      <c r="J29" s="87">
        <v>278963882</v>
      </c>
      <c r="K29" s="51"/>
      <c r="L29" s="51"/>
      <c r="M29" s="87">
        <v>286095245</v>
      </c>
      <c r="N29" s="51"/>
      <c r="O29" s="51"/>
      <c r="P29" s="51"/>
      <c r="Q29" s="87">
        <v>291205276</v>
      </c>
      <c r="R29" s="52"/>
      <c r="S29" s="52"/>
      <c r="T29" s="51"/>
      <c r="U29" s="87">
        <v>293098624</v>
      </c>
      <c r="V29" s="52"/>
      <c r="W29" s="52"/>
      <c r="X29" s="51"/>
      <c r="Y29" s="51"/>
      <c r="Z29" s="87">
        <v>287905237</v>
      </c>
      <c r="AA29" s="52"/>
      <c r="AB29" s="52"/>
    </row>
    <row r="30" spans="2:28" ht="12.75">
      <c r="B30" s="44"/>
      <c r="C30" s="44"/>
      <c r="D30" s="44"/>
      <c r="E30" s="46"/>
      <c r="F30" s="46"/>
      <c r="G30" s="44"/>
      <c r="H30" s="46"/>
      <c r="I30" s="46"/>
      <c r="J30" s="44"/>
      <c r="K30" s="46"/>
      <c r="L30" s="46"/>
      <c r="M30" s="44"/>
      <c r="N30" s="46"/>
      <c r="O30" s="46"/>
      <c r="P30" s="46"/>
      <c r="Q30" s="44"/>
      <c r="R30" s="52"/>
      <c r="S30" s="52"/>
      <c r="T30" s="46"/>
      <c r="U30" s="44"/>
      <c r="V30" s="52"/>
      <c r="W30" s="52"/>
      <c r="X30" s="46"/>
      <c r="Y30" s="46"/>
      <c r="Z30" s="44"/>
      <c r="AA30" s="52"/>
      <c r="AB30" s="52"/>
    </row>
    <row r="31" spans="2:28" ht="18" customHeight="1">
      <c r="B31" s="44"/>
      <c r="C31" s="44"/>
      <c r="D31" s="51">
        <f>+D29</f>
        <v>294180331</v>
      </c>
      <c r="E31" s="46"/>
      <c r="F31" s="52"/>
      <c r="G31" s="51">
        <f>+G29</f>
        <v>0</v>
      </c>
      <c r="H31" s="52"/>
      <c r="I31" s="52"/>
      <c r="J31" s="51">
        <f>+J29</f>
        <v>278963882</v>
      </c>
      <c r="K31" s="52"/>
      <c r="L31" s="52"/>
      <c r="M31" s="51">
        <f>+M29</f>
        <v>286095245</v>
      </c>
      <c r="N31" s="52"/>
      <c r="O31" s="52"/>
      <c r="P31" s="51"/>
      <c r="Q31" s="51">
        <f>+Q29</f>
        <v>291205276</v>
      </c>
      <c r="R31" s="44"/>
      <c r="S31" s="44"/>
      <c r="T31" s="51"/>
      <c r="U31" s="51">
        <f>+U29</f>
        <v>293098624</v>
      </c>
      <c r="V31" s="44"/>
      <c r="W31" s="44"/>
      <c r="X31" s="51"/>
      <c r="Y31" s="51"/>
      <c r="Z31" s="51">
        <f>+Z29</f>
        <v>287905237</v>
      </c>
      <c r="AA31" s="44"/>
      <c r="AB31" s="44"/>
    </row>
    <row r="32" spans="2:28" ht="12.75">
      <c r="B32" s="53">
        <f>+A17</f>
        <v>0.4</v>
      </c>
      <c r="C32" s="44"/>
      <c r="D32" s="52">
        <f>+D31*$B$32</f>
        <v>117672132.4</v>
      </c>
      <c r="E32" s="46"/>
      <c r="F32" s="52"/>
      <c r="G32" s="52">
        <f>+G31*$B$32</f>
        <v>0</v>
      </c>
      <c r="H32" s="52"/>
      <c r="I32" s="52"/>
      <c r="J32" s="52">
        <f>+J31*$B$32</f>
        <v>111585552.80000001</v>
      </c>
      <c r="K32" s="52"/>
      <c r="L32" s="52"/>
      <c r="M32" s="52">
        <f>+M31*$B$32</f>
        <v>114438098</v>
      </c>
      <c r="N32" s="52"/>
      <c r="O32" s="52"/>
      <c r="P32" s="52"/>
      <c r="Q32" s="52">
        <f>+Q31*$B$32</f>
        <v>116482110.4</v>
      </c>
      <c r="R32" s="46"/>
      <c r="S32" s="46"/>
      <c r="T32" s="52"/>
      <c r="U32" s="52">
        <f>+U31*$B$32</f>
        <v>117239449.60000001</v>
      </c>
      <c r="V32" s="46"/>
      <c r="W32" s="46"/>
      <c r="X32" s="52"/>
      <c r="Y32" s="52"/>
      <c r="Z32" s="52">
        <f>+Z31*$B$32</f>
        <v>115162094.80000001</v>
      </c>
      <c r="AA32" s="46"/>
      <c r="AB32" s="46"/>
    </row>
    <row r="33" spans="2:28" ht="12.75">
      <c r="B33" s="43" t="s">
        <v>17</v>
      </c>
      <c r="C33" s="44"/>
      <c r="D33" s="52">
        <f>+D32/1000</f>
        <v>117672.1324</v>
      </c>
      <c r="E33" s="46"/>
      <c r="F33" s="44"/>
      <c r="G33" s="52">
        <f>+G32/1000</f>
        <v>0</v>
      </c>
      <c r="H33" s="44"/>
      <c r="I33" s="44"/>
      <c r="J33" s="52">
        <f>+J32/1000</f>
        <v>111585.5528</v>
      </c>
      <c r="K33" s="44"/>
      <c r="L33" s="44"/>
      <c r="M33" s="52">
        <f>+M32/1000</f>
        <v>114438.098</v>
      </c>
      <c r="N33" s="44"/>
      <c r="O33" s="44"/>
      <c r="P33" s="44"/>
      <c r="Q33" s="52">
        <f>+Q32/1000</f>
        <v>116482.1104</v>
      </c>
      <c r="R33" s="46"/>
      <c r="S33" s="46"/>
      <c r="T33" s="44"/>
      <c r="U33" s="52">
        <f>+U32/1000</f>
        <v>117239.4496</v>
      </c>
      <c r="V33" s="46"/>
      <c r="W33" s="46"/>
      <c r="X33" s="44"/>
      <c r="Y33" s="44"/>
      <c r="Z33" s="52">
        <f>+Z32/1000</f>
        <v>115162.0948</v>
      </c>
      <c r="AA33" s="46"/>
      <c r="AB33" s="46"/>
    </row>
    <row r="34" spans="2:27" ht="12.75" customHeight="1">
      <c r="B34" s="44"/>
      <c r="C34" s="44"/>
      <c r="D34" s="44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T34" s="46"/>
      <c r="U34" s="46"/>
      <c r="V34" s="46"/>
      <c r="X34" s="46"/>
      <c r="Y34" s="46"/>
      <c r="Z34" s="46"/>
      <c r="AA34" s="46"/>
    </row>
    <row r="35" spans="2:27" ht="12.75" customHeight="1">
      <c r="B35" s="44"/>
      <c r="C35" s="44"/>
      <c r="D35" s="4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T35" s="46"/>
      <c r="U35" s="46"/>
      <c r="V35" s="46"/>
      <c r="X35" s="46"/>
      <c r="Y35" s="46"/>
      <c r="Z35" s="46"/>
      <c r="AA35" s="46"/>
    </row>
    <row r="36" spans="2:28" ht="12.75" customHeight="1">
      <c r="B36" s="44"/>
      <c r="C36" s="44"/>
      <c r="D36" s="44"/>
      <c r="E36" s="46"/>
      <c r="F36" s="46" t="b">
        <f>AND(F15="CUMPLE",F17="CUMPLE",F19="CUMPLE",F21="CUMPLE")</f>
        <v>0</v>
      </c>
      <c r="G36" s="46"/>
      <c r="H36" s="46"/>
      <c r="I36" s="46" t="b">
        <f>AND(I15="CUMPLE",I17="CUMPLE",I19="CUMPLE",I21="CUMPLE")</f>
        <v>1</v>
      </c>
      <c r="J36" s="46"/>
      <c r="K36" s="46"/>
      <c r="L36" s="46" t="b">
        <f>AND(L15="CUMPLE",L17="CUMPLE",L19="CUMPLE",L21="CUMPLE")</f>
        <v>1</v>
      </c>
      <c r="M36" s="46"/>
      <c r="N36" s="46"/>
      <c r="O36" s="46" t="b">
        <f>AND(O15="CUMPLE",O17="CUMPLE",O19="CUMPLE",O21="CUMPLE")</f>
        <v>1</v>
      </c>
      <c r="P36" s="46"/>
      <c r="Q36" s="46"/>
      <c r="R36" s="46"/>
      <c r="S36" s="46" t="b">
        <f>AND(S15="CUMPLE",S17="CUMPLE",S19="CUMPLE",S21="CUMPLE")</f>
        <v>1</v>
      </c>
      <c r="T36" s="46"/>
      <c r="U36" s="46"/>
      <c r="V36" s="46"/>
      <c r="W36" s="46" t="b">
        <f>AND(W15="CUMPLE",W17="CUMPLE",W19="CUMPLE",W21="CUMPLE")</f>
        <v>1</v>
      </c>
      <c r="X36" s="46"/>
      <c r="Y36" s="46"/>
      <c r="Z36" s="46"/>
      <c r="AA36" s="46"/>
      <c r="AB36" s="46" t="b">
        <f>AND(AB15="CUMPLE",AB17="CUMPLE",AB19="CUMPLE",AB21="CUMPLE")</f>
        <v>1</v>
      </c>
    </row>
    <row r="37" spans="2:28" ht="12.75">
      <c r="B37" s="44"/>
      <c r="C37" s="44"/>
      <c r="D37" s="44"/>
      <c r="E37" s="46"/>
      <c r="F37" s="46">
        <f>IF(F36=TRUE,1,0)</f>
        <v>0</v>
      </c>
      <c r="G37" s="46"/>
      <c r="H37" s="46"/>
      <c r="I37" s="46">
        <f>IF(I36=TRUE,1,0)</f>
        <v>1</v>
      </c>
      <c r="J37" s="46"/>
      <c r="K37" s="46"/>
      <c r="L37" s="46">
        <f>IF(L36=TRUE,1,0)</f>
        <v>1</v>
      </c>
      <c r="M37" s="46"/>
      <c r="N37" s="46"/>
      <c r="O37" s="46">
        <f>IF(O36=TRUE,1,0)</f>
        <v>1</v>
      </c>
      <c r="P37" s="46"/>
      <c r="Q37" s="46"/>
      <c r="R37" s="46"/>
      <c r="S37" s="46">
        <f>IF(S36=TRUE,1,0)</f>
        <v>1</v>
      </c>
      <c r="T37" s="46"/>
      <c r="U37" s="46"/>
      <c r="V37" s="46"/>
      <c r="W37" s="46">
        <f>IF(W36=TRUE,1,0)</f>
        <v>1</v>
      </c>
      <c r="X37" s="46"/>
      <c r="Y37" s="46"/>
      <c r="Z37" s="46"/>
      <c r="AA37" s="46"/>
      <c r="AB37" s="46">
        <f>IF(AB36=TRUE,1,0)</f>
        <v>1</v>
      </c>
    </row>
    <row r="38" spans="2:28" ht="12.75">
      <c r="B38" s="44"/>
      <c r="C38" s="44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2:25" ht="12.75">
      <c r="B39" s="44"/>
      <c r="C39" s="44"/>
      <c r="D39" s="4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T39" s="46"/>
      <c r="X39" s="46"/>
      <c r="Y39" s="46"/>
    </row>
    <row r="40" spans="2:25" ht="12.75">
      <c r="B40" s="44"/>
      <c r="C40" s="44"/>
      <c r="D40" s="4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T40" s="46"/>
      <c r="X40" s="46"/>
      <c r="Y40" s="46"/>
    </row>
    <row r="42" spans="16:28" ht="15.75">
      <c r="P42" s="36"/>
      <c r="Q42" s="108"/>
      <c r="R42" s="109"/>
      <c r="S42" s="109"/>
      <c r="T42" s="36"/>
      <c r="U42" s="108"/>
      <c r="V42" s="109"/>
      <c r="W42" s="109"/>
      <c r="X42" s="36"/>
      <c r="Y42" s="36"/>
      <c r="Z42" s="108"/>
      <c r="AA42" s="89"/>
      <c r="AB42" s="89"/>
    </row>
    <row r="44" spans="2:26" ht="15.75">
      <c r="B44" s="59" t="s">
        <v>43</v>
      </c>
      <c r="C44" s="21"/>
      <c r="D44" s="88">
        <f>+E17/$A$17</f>
        <v>268178.105</v>
      </c>
      <c r="E44" s="89"/>
      <c r="F44" s="89"/>
      <c r="G44" s="88">
        <f>+H17/$A$17</f>
        <v>1099284.825</v>
      </c>
      <c r="H44" s="89"/>
      <c r="I44" s="89"/>
      <c r="J44" s="88">
        <f>+K17/$A$17</f>
        <v>2029749.3924999998</v>
      </c>
      <c r="K44" s="89"/>
      <c r="L44" s="89"/>
      <c r="M44" s="88">
        <f>+N17/$A$17</f>
        <v>444428.7475</v>
      </c>
      <c r="N44" s="89"/>
      <c r="O44" s="89"/>
      <c r="P44" s="89"/>
      <c r="Q44" s="88">
        <f>+R17/$A$17</f>
        <v>459244.5239999999</v>
      </c>
      <c r="T44" s="89"/>
      <c r="U44" s="88">
        <f>+V17/$A$17</f>
        <v>434050.573</v>
      </c>
      <c r="X44" s="89"/>
      <c r="Y44" s="89"/>
      <c r="Z44" s="88">
        <f>+AA17/$A$17</f>
        <v>1713143.629</v>
      </c>
    </row>
  </sheetData>
  <sheetProtection/>
  <mergeCells count="91">
    <mergeCell ref="H21:H22"/>
    <mergeCell ref="I21:I22"/>
    <mergeCell ref="K21:K22"/>
    <mergeCell ref="L21:L22"/>
    <mergeCell ref="W21:W22"/>
    <mergeCell ref="T23:W23"/>
    <mergeCell ref="X9:AB9"/>
    <mergeCell ref="AA21:AA22"/>
    <mergeCell ref="AB21:AB22"/>
    <mergeCell ref="X23:AB23"/>
    <mergeCell ref="T10:W11"/>
    <mergeCell ref="X10:AB11"/>
    <mergeCell ref="T9:W9"/>
    <mergeCell ref="AA17:AA18"/>
    <mergeCell ref="N17:N18"/>
    <mergeCell ref="O17:O18"/>
    <mergeCell ref="N15:N16"/>
    <mergeCell ref="V21:V22"/>
    <mergeCell ref="N21:N22"/>
    <mergeCell ref="S19:S20"/>
    <mergeCell ref="R21:R22"/>
    <mergeCell ref="S21:S22"/>
    <mergeCell ref="O21:O22"/>
    <mergeCell ref="O15:O16"/>
    <mergeCell ref="P23:S23"/>
    <mergeCell ref="P9:S9"/>
    <mergeCell ref="S15:S16"/>
    <mergeCell ref="S17:S18"/>
    <mergeCell ref="P10:S11"/>
    <mergeCell ref="G23:I23"/>
    <mergeCell ref="J23:L23"/>
    <mergeCell ref="M23:O23"/>
    <mergeCell ref="AB19:AB20"/>
    <mergeCell ref="W19:W20"/>
    <mergeCell ref="AA19:AA20"/>
    <mergeCell ref="V19:V20"/>
    <mergeCell ref="H19:H20"/>
    <mergeCell ref="I19:I20"/>
    <mergeCell ref="K19:K20"/>
    <mergeCell ref="L19:L20"/>
    <mergeCell ref="N19:N20"/>
    <mergeCell ref="O19:O20"/>
    <mergeCell ref="R19:R20"/>
    <mergeCell ref="AB17:AB18"/>
    <mergeCell ref="R17:R18"/>
    <mergeCell ref="W17:W18"/>
    <mergeCell ref="V17:V18"/>
    <mergeCell ref="H17:H18"/>
    <mergeCell ref="I17:I18"/>
    <mergeCell ref="K17:K18"/>
    <mergeCell ref="L17:L18"/>
    <mergeCell ref="AA15:AA16"/>
    <mergeCell ref="AB15:AB16"/>
    <mergeCell ref="R15:R16"/>
    <mergeCell ref="W15:W16"/>
    <mergeCell ref="V15:V16"/>
    <mergeCell ref="G13:I13"/>
    <mergeCell ref="J13:L13"/>
    <mergeCell ref="M13:O13"/>
    <mergeCell ref="H15:H16"/>
    <mergeCell ref="I15:I16"/>
    <mergeCell ref="K15:K16"/>
    <mergeCell ref="L15:L16"/>
    <mergeCell ref="M10:O12"/>
    <mergeCell ref="G9:I9"/>
    <mergeCell ref="J9:L9"/>
    <mergeCell ref="M9:O9"/>
    <mergeCell ref="D9:F9"/>
    <mergeCell ref="B5:C5"/>
    <mergeCell ref="B6:C6"/>
    <mergeCell ref="F15:F16"/>
    <mergeCell ref="E6:O6"/>
    <mergeCell ref="D10:F12"/>
    <mergeCell ref="D13:F13"/>
    <mergeCell ref="B9:C9"/>
    <mergeCell ref="G10:I12"/>
    <mergeCell ref="J10:L12"/>
    <mergeCell ref="D23:F23"/>
    <mergeCell ref="B10:C12"/>
    <mergeCell ref="B13:C13"/>
    <mergeCell ref="B15:B16"/>
    <mergeCell ref="B17:B18"/>
    <mergeCell ref="E15:E16"/>
    <mergeCell ref="B19:B20"/>
    <mergeCell ref="B21:B22"/>
    <mergeCell ref="E21:E22"/>
    <mergeCell ref="F21:F22"/>
    <mergeCell ref="E19:E20"/>
    <mergeCell ref="E17:E18"/>
    <mergeCell ref="F17:F18"/>
    <mergeCell ref="F19:F20"/>
  </mergeCells>
  <conditionalFormatting sqref="D23:AB23">
    <cfRule type="cellIs" priority="1" dxfId="111" operator="equal" stopIfTrue="1">
      <formula>"NO CUMPLE"</formula>
    </cfRule>
  </conditionalFormatting>
  <hyperlinks>
    <hyperlink ref="A1" location="Hoja1!A1" display="VOLVER AL MENU"/>
  </hyperlinks>
  <printOptions/>
  <pageMargins left="0.984251968503937" right="0.65" top="1.3779527559055118" bottom="0.984251968503937" header="0" footer="0"/>
  <pageSetup fitToWidth="3" horizontalDpi="600" verticalDpi="600" orientation="landscape" scale="55" r:id="rId1"/>
  <headerFooter alignWithMargins="0">
    <oddFooter>&amp;CEvaluación Convocatoria Pública 023 de 2008&amp;RHoja &amp;P de &amp;N</oddFooter>
  </headerFooter>
  <colBreaks count="2" manualBreakCount="2">
    <brk id="12" min="4" max="22" man="1"/>
    <brk id="19" min="4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4" sqref="A14"/>
    </sheetView>
  </sheetViews>
  <sheetFormatPr defaultColWidth="11.421875" defaultRowHeight="12.75"/>
  <cols>
    <col min="1" max="1" width="37.140625" style="0" customWidth="1"/>
    <col min="2" max="2" width="15.7109375" style="0" customWidth="1"/>
    <col min="3" max="3" width="18.28125" style="0" customWidth="1"/>
    <col min="4" max="4" width="14.140625" style="0" bestFit="1" customWidth="1"/>
    <col min="5" max="5" width="9.57421875" style="0" customWidth="1"/>
  </cols>
  <sheetData>
    <row r="1" spans="1:5" ht="15">
      <c r="A1" s="207" t="s">
        <v>116</v>
      </c>
      <c r="B1" s="208"/>
      <c r="C1" s="208"/>
      <c r="D1" s="208"/>
      <c r="E1" s="209"/>
    </row>
    <row r="2" spans="1:5" ht="12.75">
      <c r="A2" s="127"/>
      <c r="B2" s="128"/>
      <c r="C2" s="128"/>
      <c r="D2" s="128"/>
      <c r="E2" s="129"/>
    </row>
    <row r="3" spans="1:5" ht="33.75">
      <c r="A3" s="117" t="s">
        <v>3</v>
      </c>
      <c r="B3" s="110" t="s">
        <v>104</v>
      </c>
      <c r="C3" s="110" t="s">
        <v>105</v>
      </c>
      <c r="D3" s="110" t="s">
        <v>109</v>
      </c>
      <c r="E3" s="118" t="s">
        <v>110</v>
      </c>
    </row>
    <row r="4" spans="1:5" ht="12.75">
      <c r="A4" s="114"/>
      <c r="B4" s="115"/>
      <c r="C4" s="115"/>
      <c r="D4" s="115"/>
      <c r="E4" s="116"/>
    </row>
    <row r="5" spans="1:6" ht="12.75">
      <c r="A5" s="119" t="s">
        <v>65</v>
      </c>
      <c r="B5" s="112">
        <v>278963881.96</v>
      </c>
      <c r="C5" s="112">
        <v>278963881.96</v>
      </c>
      <c r="D5" s="113">
        <f>+$C$11-C5</f>
        <v>6415037.036000013</v>
      </c>
      <c r="E5" s="132" t="s">
        <v>111</v>
      </c>
      <c r="F5" s="111"/>
    </row>
    <row r="6" spans="1:6" ht="12.75">
      <c r="A6" s="119" t="s">
        <v>51</v>
      </c>
      <c r="B6" s="112">
        <v>291205276.05</v>
      </c>
      <c r="C6" s="112">
        <v>291205276.05</v>
      </c>
      <c r="D6" s="112">
        <f>+$C$11-C6</f>
        <v>-5826357.05400002</v>
      </c>
      <c r="E6" s="132" t="s">
        <v>114</v>
      </c>
      <c r="F6" s="111"/>
    </row>
    <row r="7" spans="1:6" ht="12.75">
      <c r="A7" s="119" t="s">
        <v>106</v>
      </c>
      <c r="B7" s="112">
        <v>286095245.02</v>
      </c>
      <c r="C7" s="112">
        <v>274798275.82</v>
      </c>
      <c r="D7" s="112">
        <f>+$C$11-C7</f>
        <v>10580643.175999999</v>
      </c>
      <c r="E7" s="132" t="s">
        <v>112</v>
      </c>
      <c r="F7" s="111"/>
    </row>
    <row r="8" spans="1:6" ht="12.75">
      <c r="A8" s="119" t="s">
        <v>59</v>
      </c>
      <c r="B8" s="112">
        <v>287905237.2</v>
      </c>
      <c r="C8" s="112">
        <v>287905237.2</v>
      </c>
      <c r="D8" s="112">
        <f>+$C$11-C8</f>
        <v>-2526318.203999996</v>
      </c>
      <c r="E8" s="132" t="s">
        <v>113</v>
      </c>
      <c r="F8" s="111"/>
    </row>
    <row r="9" spans="1:6" ht="12.75">
      <c r="A9" s="119" t="s">
        <v>107</v>
      </c>
      <c r="B9" s="112">
        <v>293098623.65</v>
      </c>
      <c r="C9" s="112">
        <v>294021923.95</v>
      </c>
      <c r="D9" s="112">
        <f>+$C$11-C9</f>
        <v>-8643004.953999996</v>
      </c>
      <c r="E9" s="132" t="s">
        <v>115</v>
      </c>
      <c r="F9" s="111"/>
    </row>
    <row r="10" spans="1:6" ht="12.75">
      <c r="A10" s="120"/>
      <c r="B10" s="121"/>
      <c r="C10" s="121"/>
      <c r="D10" s="122"/>
      <c r="E10" s="123"/>
      <c r="F10" s="111"/>
    </row>
    <row r="11" spans="1:6" ht="12.75">
      <c r="A11" s="131" t="s">
        <v>108</v>
      </c>
      <c r="B11" s="124"/>
      <c r="C11" s="130">
        <f>AVERAGE(C5:C9)</f>
        <v>285378918.996</v>
      </c>
      <c r="D11" s="122"/>
      <c r="E11" s="123"/>
      <c r="F11" s="111"/>
    </row>
    <row r="12" spans="1:5" ht="13.5" thickBot="1">
      <c r="A12" s="125"/>
      <c r="B12" s="72"/>
      <c r="C12" s="72"/>
      <c r="D12" s="72"/>
      <c r="E12" s="126"/>
    </row>
  </sheetData>
  <mergeCells count="1">
    <mergeCell ref="A1:E1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211" t="s">
        <v>34</v>
      </c>
      <c r="B2" s="212"/>
      <c r="C2" s="212"/>
    </row>
    <row r="3" spans="11:16" ht="12.75" customHeight="1">
      <c r="K3" s="213" t="e">
        <f>+'EVALUACIÓN FINANCIERA'!#REF!</f>
        <v>#REF!</v>
      </c>
      <c r="L3" s="214"/>
      <c r="M3" s="214"/>
      <c r="N3" s="214"/>
      <c r="O3" s="214"/>
      <c r="P3" s="214"/>
    </row>
    <row r="4" spans="1:16" s="15" customFormat="1" ht="30" customHeight="1">
      <c r="A4" s="26" t="s">
        <v>30</v>
      </c>
      <c r="B4" s="210" t="str">
        <f>+'EVALUACIÓN FINANCIERA'!D10</f>
        <v>CONSTRUCTORA, CONSULTORA Y PROVEEDORA MEROBEL LTDA.</v>
      </c>
      <c r="C4" s="210"/>
      <c r="D4" s="210"/>
      <c r="E4" s="210" t="e">
        <f>+'EVALUACIÓN FINANCIERA'!#REF!</f>
        <v>#REF!</v>
      </c>
      <c r="F4" s="210"/>
      <c r="G4" s="210"/>
      <c r="H4" s="210" t="e">
        <f>+'EVALUACIÓN FINANCIERA'!#REF!</f>
        <v>#REF!</v>
      </c>
      <c r="I4" s="210"/>
      <c r="J4" s="210"/>
      <c r="K4" s="210"/>
      <c r="L4" s="210"/>
      <c r="M4" s="210"/>
      <c r="N4" s="210" t="e">
        <f>+'EVALUACIÓN FINANCIERA'!#REF!</f>
        <v>#REF!</v>
      </c>
      <c r="O4" s="210"/>
      <c r="P4" s="210"/>
    </row>
    <row r="5" spans="2:16" s="1" customFormat="1" ht="12.75">
      <c r="B5" s="16" t="s">
        <v>19</v>
      </c>
      <c r="C5" s="16" t="s">
        <v>20</v>
      </c>
      <c r="D5" s="16" t="s">
        <v>21</v>
      </c>
      <c r="E5" s="16" t="s">
        <v>19</v>
      </c>
      <c r="F5" s="16" t="s">
        <v>20</v>
      </c>
      <c r="G5" s="16" t="s">
        <v>21</v>
      </c>
      <c r="H5" s="16" t="s">
        <v>19</v>
      </c>
      <c r="I5" s="16" t="s">
        <v>20</v>
      </c>
      <c r="J5" s="16" t="s">
        <v>21</v>
      </c>
      <c r="K5" s="16" t="s">
        <v>19</v>
      </c>
      <c r="L5" s="16" t="s">
        <v>20</v>
      </c>
      <c r="M5" s="16" t="s">
        <v>21</v>
      </c>
      <c r="N5" s="16" t="s">
        <v>19</v>
      </c>
      <c r="O5" s="16" t="s">
        <v>20</v>
      </c>
      <c r="P5" s="16" t="s">
        <v>21</v>
      </c>
    </row>
    <row r="6" ht="12.75">
      <c r="B6" s="19"/>
    </row>
    <row r="7" spans="1:16" ht="12.75">
      <c r="A7" s="17" t="s">
        <v>23</v>
      </c>
      <c r="B7" s="22"/>
      <c r="C7" s="22"/>
      <c r="D7" s="22">
        <f>+B7-C7</f>
        <v>0</v>
      </c>
      <c r="E7" s="22"/>
      <c r="F7" s="22"/>
      <c r="G7" s="22">
        <f>+E7-F7</f>
        <v>0</v>
      </c>
      <c r="H7" s="22"/>
      <c r="I7" s="22"/>
      <c r="J7" s="22">
        <f>+H7-I7</f>
        <v>0</v>
      </c>
      <c r="K7" s="22"/>
      <c r="L7" s="22"/>
      <c r="M7" s="22">
        <f>+K7-L7</f>
        <v>0</v>
      </c>
      <c r="N7" s="22"/>
      <c r="O7" s="22"/>
      <c r="P7" s="22">
        <f>+N7-O7</f>
        <v>0</v>
      </c>
    </row>
    <row r="8" spans="2:16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17" t="s">
        <v>22</v>
      </c>
      <c r="B9" s="22"/>
      <c r="C9" s="22"/>
      <c r="D9" s="22">
        <f>+B9-C9</f>
        <v>0</v>
      </c>
      <c r="E9" s="22"/>
      <c r="F9" s="22"/>
      <c r="G9" s="22">
        <f>+E9-F9</f>
        <v>0</v>
      </c>
      <c r="H9" s="22"/>
      <c r="I9" s="22"/>
      <c r="J9" s="22">
        <f>+H9-I9</f>
        <v>0</v>
      </c>
      <c r="K9" s="22"/>
      <c r="L9" s="22"/>
      <c r="M9" s="22">
        <f>+K9-L9</f>
        <v>0</v>
      </c>
      <c r="N9" s="22"/>
      <c r="O9" s="22"/>
      <c r="P9" s="22">
        <f>+N9-O9</f>
        <v>0</v>
      </c>
    </row>
    <row r="10" spans="2:16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>
      <c r="A11" s="17" t="s">
        <v>24</v>
      </c>
      <c r="B11" s="23">
        <f aca="true" t="shared" si="0" ref="B11:J11">+B7-B9</f>
        <v>0</v>
      </c>
      <c r="C11" s="23">
        <f t="shared" si="0"/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aca="true" t="shared" si="1" ref="K11:P11">+K7-K9</f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</row>
    <row r="12" spans="2:16" ht="12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17" t="s">
        <v>25</v>
      </c>
      <c r="B13" s="22"/>
      <c r="C13" s="22"/>
      <c r="D13" s="22">
        <f>+B13-C13</f>
        <v>0</v>
      </c>
      <c r="E13" s="22"/>
      <c r="F13" s="22"/>
      <c r="G13" s="22">
        <f>+E13-F13</f>
        <v>0</v>
      </c>
      <c r="H13" s="22"/>
      <c r="I13" s="22"/>
      <c r="J13" s="22">
        <f>+H13-I13</f>
        <v>0</v>
      </c>
      <c r="K13" s="22"/>
      <c r="L13" s="22"/>
      <c r="M13" s="22">
        <f>+K13-L13</f>
        <v>0</v>
      </c>
      <c r="N13" s="22"/>
      <c r="O13" s="22"/>
      <c r="P13" s="22">
        <f>+N13-O13</f>
        <v>0</v>
      </c>
    </row>
    <row r="14" spans="2:16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17" t="s">
        <v>26</v>
      </c>
      <c r="B15" s="22"/>
      <c r="C15" s="22"/>
      <c r="D15" s="22">
        <f>+B15-C15</f>
        <v>0</v>
      </c>
      <c r="E15" s="22"/>
      <c r="F15" s="22"/>
      <c r="G15" s="22">
        <f>+E15-F15</f>
        <v>0</v>
      </c>
      <c r="H15" s="22"/>
      <c r="I15" s="22"/>
      <c r="J15" s="22">
        <f>+H15-I15</f>
        <v>0</v>
      </c>
      <c r="K15" s="22"/>
      <c r="L15" s="22"/>
      <c r="M15" s="22">
        <f>+K15-L15</f>
        <v>0</v>
      </c>
      <c r="N15" s="22"/>
      <c r="O15" s="22"/>
      <c r="P15" s="22">
        <f>+N15-O15</f>
        <v>0</v>
      </c>
    </row>
    <row r="16" spans="2:16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17" t="s">
        <v>27</v>
      </c>
      <c r="B17" s="22"/>
      <c r="C17" s="22"/>
      <c r="D17" s="22">
        <f>+B17-C17</f>
        <v>0</v>
      </c>
      <c r="E17" s="22"/>
      <c r="F17" s="22"/>
      <c r="G17" s="22">
        <f>+E17-F17</f>
        <v>0</v>
      </c>
      <c r="H17" s="22"/>
      <c r="I17" s="22"/>
      <c r="J17" s="22">
        <f>+H17-I17</f>
        <v>0</v>
      </c>
      <c r="K17" s="22"/>
      <c r="L17" s="22"/>
      <c r="M17" s="22">
        <f>+K17-L17</f>
        <v>0</v>
      </c>
      <c r="N17" s="22"/>
      <c r="O17" s="22"/>
      <c r="P17" s="22">
        <f>+N17-O17</f>
        <v>0</v>
      </c>
    </row>
    <row r="18" spans="2:16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17" t="s">
        <v>32</v>
      </c>
      <c r="B19" s="22"/>
      <c r="C19" s="22"/>
      <c r="D19" s="22">
        <f>+B19-C19</f>
        <v>0</v>
      </c>
      <c r="E19" s="22"/>
      <c r="F19" s="22"/>
      <c r="G19" s="22">
        <f>+E19-F19</f>
        <v>0</v>
      </c>
      <c r="H19" s="22"/>
      <c r="I19" s="22"/>
      <c r="J19" s="22">
        <f>+H19-I19</f>
        <v>0</v>
      </c>
      <c r="K19" s="22"/>
      <c r="L19" s="22"/>
      <c r="M19" s="22">
        <f>+K19-L19</f>
        <v>0</v>
      </c>
      <c r="N19" s="22"/>
      <c r="O19" s="22"/>
      <c r="P19" s="22">
        <f>+N19-O19</f>
        <v>0</v>
      </c>
    </row>
    <row r="20" spans="2:16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17" t="s">
        <v>28</v>
      </c>
      <c r="B21" s="22"/>
      <c r="C21" s="22"/>
      <c r="D21" s="22">
        <f>+B21-C21</f>
        <v>0</v>
      </c>
      <c r="E21" s="22"/>
      <c r="F21" s="22"/>
      <c r="G21" s="22">
        <f>+E21-F21</f>
        <v>0</v>
      </c>
      <c r="H21" s="22"/>
      <c r="I21" s="22"/>
      <c r="J21" s="22">
        <f>+H21-I21</f>
        <v>0</v>
      </c>
      <c r="K21" s="22"/>
      <c r="L21" s="22"/>
      <c r="M21" s="22">
        <f>+K21-L21</f>
        <v>0</v>
      </c>
      <c r="N21" s="22"/>
      <c r="O21" s="22"/>
      <c r="P21" s="22">
        <f>+N21-O21</f>
        <v>0</v>
      </c>
    </row>
    <row r="22" spans="2:16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17" t="s">
        <v>29</v>
      </c>
      <c r="B23" s="23">
        <f aca="true" t="shared" si="2" ref="B23:J23">+B13-B15-B17-B19-B21</f>
        <v>0</v>
      </c>
      <c r="C23" s="23">
        <f t="shared" si="2"/>
        <v>0</v>
      </c>
      <c r="D23" s="24">
        <f t="shared" si="2"/>
        <v>0</v>
      </c>
      <c r="E23" s="23">
        <f t="shared" si="2"/>
        <v>0</v>
      </c>
      <c r="F23" s="23">
        <f t="shared" si="2"/>
        <v>0</v>
      </c>
      <c r="G23" s="24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aca="true" t="shared" si="3" ref="K23:P23">+K13-K15-K17-K19-K21</f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</row>
    <row r="27" spans="1:3" ht="12.75">
      <c r="A27" s="211" t="s">
        <v>34</v>
      </c>
      <c r="B27" s="212"/>
      <c r="C27" s="212"/>
    </row>
    <row r="29" spans="1:13" ht="12.75">
      <c r="A29" s="26" t="s">
        <v>31</v>
      </c>
      <c r="B29" s="210" t="str">
        <f>+B4</f>
        <v>CONSTRUCTORA, CONSULTORA Y PROVEEDORA MEROBEL LTDA.</v>
      </c>
      <c r="C29" s="210"/>
      <c r="D29" s="210"/>
      <c r="E29" s="210" t="e">
        <f>+E4</f>
        <v>#REF!</v>
      </c>
      <c r="F29" s="210"/>
      <c r="G29" s="210"/>
      <c r="H29" s="210" t="e">
        <f>+H4</f>
        <v>#REF!</v>
      </c>
      <c r="I29" s="210"/>
      <c r="J29" s="210"/>
      <c r="K29" s="210">
        <f>+K4</f>
        <v>0</v>
      </c>
      <c r="L29" s="210"/>
      <c r="M29" s="210"/>
    </row>
    <row r="30" spans="1:13" ht="12.75">
      <c r="A30" s="1"/>
      <c r="B30" s="16" t="s">
        <v>19</v>
      </c>
      <c r="C30" s="16" t="s">
        <v>20</v>
      </c>
      <c r="D30" s="16" t="s">
        <v>21</v>
      </c>
      <c r="E30" s="16" t="s">
        <v>19</v>
      </c>
      <c r="F30" s="16" t="s">
        <v>20</v>
      </c>
      <c r="G30" s="16" t="s">
        <v>21</v>
      </c>
      <c r="H30" s="16" t="s">
        <v>19</v>
      </c>
      <c r="I30" s="16" t="s">
        <v>20</v>
      </c>
      <c r="J30" s="16" t="s">
        <v>21</v>
      </c>
      <c r="K30" s="16" t="s">
        <v>19</v>
      </c>
      <c r="L30" s="16" t="s">
        <v>20</v>
      </c>
      <c r="M30" s="16" t="s">
        <v>21</v>
      </c>
    </row>
    <row r="32" spans="1:13" ht="12.75">
      <c r="A32" s="17" t="s">
        <v>23</v>
      </c>
      <c r="B32" s="22">
        <v>338540</v>
      </c>
      <c r="C32" s="22">
        <v>338540</v>
      </c>
      <c r="D32" s="22">
        <f>+B32-C32</f>
        <v>0</v>
      </c>
      <c r="E32" s="22"/>
      <c r="F32" s="22">
        <v>2236097</v>
      </c>
      <c r="G32" s="22">
        <f>+E32-F32</f>
        <v>-2236097</v>
      </c>
      <c r="H32" s="22">
        <v>3913626</v>
      </c>
      <c r="I32" s="22">
        <v>3439435</v>
      </c>
      <c r="J32" s="22">
        <f>+H32-I32</f>
        <v>474191</v>
      </c>
      <c r="K32" s="22">
        <v>3913626</v>
      </c>
      <c r="L32" s="22">
        <v>3439435</v>
      </c>
      <c r="M32" s="22">
        <f>+K32-L32</f>
        <v>474191</v>
      </c>
    </row>
    <row r="33" spans="2:13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17" t="s">
        <v>22</v>
      </c>
      <c r="B34" s="22">
        <v>177384</v>
      </c>
      <c r="C34" s="22">
        <v>177384</v>
      </c>
      <c r="D34" s="22">
        <f>+B34-C34</f>
        <v>0</v>
      </c>
      <c r="E34" s="22"/>
      <c r="F34" s="22">
        <v>1443897</v>
      </c>
      <c r="G34" s="22">
        <f>+E34-F34</f>
        <v>-1443897</v>
      </c>
      <c r="H34" s="22">
        <v>1966502</v>
      </c>
      <c r="I34" s="22">
        <v>1966503</v>
      </c>
      <c r="J34" s="22">
        <f>+H34-I34</f>
        <v>-1</v>
      </c>
      <c r="K34" s="22">
        <v>1966502</v>
      </c>
      <c r="L34" s="22">
        <v>1966503</v>
      </c>
      <c r="M34" s="22">
        <f>+K34-L34</f>
        <v>-1</v>
      </c>
    </row>
    <row r="35" spans="2:13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17" t="s">
        <v>24</v>
      </c>
      <c r="B36" s="23">
        <f aca="true" t="shared" si="4" ref="B36:J36">+B32-B34</f>
        <v>161156</v>
      </c>
      <c r="C36" s="23">
        <f t="shared" si="4"/>
        <v>161156</v>
      </c>
      <c r="D36" s="23">
        <f t="shared" si="4"/>
        <v>0</v>
      </c>
      <c r="E36" s="23">
        <f t="shared" si="4"/>
        <v>0</v>
      </c>
      <c r="F36" s="23">
        <f t="shared" si="4"/>
        <v>792200</v>
      </c>
      <c r="G36" s="23">
        <f t="shared" si="4"/>
        <v>-792200</v>
      </c>
      <c r="H36" s="25">
        <f t="shared" si="4"/>
        <v>1947124</v>
      </c>
      <c r="I36" s="25">
        <f t="shared" si="4"/>
        <v>1472932</v>
      </c>
      <c r="J36" s="25">
        <f t="shared" si="4"/>
        <v>474192</v>
      </c>
      <c r="K36" s="25">
        <f>+K32-K34</f>
        <v>1947124</v>
      </c>
      <c r="L36" s="25">
        <f>+L32-L34</f>
        <v>1472932</v>
      </c>
      <c r="M36" s="25">
        <f>+M32-M34</f>
        <v>474192</v>
      </c>
    </row>
    <row r="37" spans="2:13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17" t="s">
        <v>25</v>
      </c>
      <c r="B38" s="22">
        <f>3497+174390</f>
        <v>177887</v>
      </c>
      <c r="C38" s="22">
        <v>177887</v>
      </c>
      <c r="D38" s="22">
        <f>+B38-C38</f>
        <v>0</v>
      </c>
      <c r="E38" s="22">
        <v>5286525</v>
      </c>
      <c r="F38" s="22">
        <v>5295374</v>
      </c>
      <c r="G38" s="22">
        <f>+E38-F38</f>
        <v>-8849</v>
      </c>
      <c r="H38" s="22">
        <f>2270798+344789</f>
        <v>2615587</v>
      </c>
      <c r="I38" s="22">
        <f>2270798+344789</f>
        <v>2615587</v>
      </c>
      <c r="J38" s="22">
        <f>+H38-I38</f>
        <v>0</v>
      </c>
      <c r="K38" s="22">
        <f>2270798+344789</f>
        <v>2615587</v>
      </c>
      <c r="L38" s="22">
        <f>2270798+344789</f>
        <v>2615587</v>
      </c>
      <c r="M38" s="22">
        <f>+K38-L38</f>
        <v>0</v>
      </c>
    </row>
    <row r="39" spans="2:13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17" t="s">
        <v>26</v>
      </c>
      <c r="B40" s="22"/>
      <c r="C40" s="22">
        <v>0</v>
      </c>
      <c r="D40" s="22">
        <f>+B40-C40</f>
        <v>0</v>
      </c>
      <c r="E40" s="22">
        <v>3389864</v>
      </c>
      <c r="F40" s="22">
        <v>3389864</v>
      </c>
      <c r="G40" s="22">
        <f>+E40-F40</f>
        <v>0</v>
      </c>
      <c r="H40" s="22"/>
      <c r="I40" s="22">
        <v>0</v>
      </c>
      <c r="J40" s="22">
        <f>+H40-I40</f>
        <v>0</v>
      </c>
      <c r="K40" s="22"/>
      <c r="L40" s="22">
        <v>0</v>
      </c>
      <c r="M40" s="22">
        <f>+K40-L40</f>
        <v>0</v>
      </c>
    </row>
    <row r="41" spans="2:13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17" t="s">
        <v>27</v>
      </c>
      <c r="B42" s="22">
        <f>158173+3499</f>
        <v>161672</v>
      </c>
      <c r="C42" s="22">
        <f>152061+3494</f>
        <v>155555</v>
      </c>
      <c r="D42" s="22">
        <f>+B42-C42</f>
        <v>6117</v>
      </c>
      <c r="E42" s="22">
        <v>1818615</v>
      </c>
      <c r="F42" s="22">
        <f>1150575+146851</f>
        <v>1297426</v>
      </c>
      <c r="G42" s="22">
        <f>+E42-F42</f>
        <v>521189</v>
      </c>
      <c r="H42" s="22">
        <f>1533588+58314+282281</f>
        <v>1874183</v>
      </c>
      <c r="I42" s="22">
        <f>1533588+58314+282281</f>
        <v>1874183</v>
      </c>
      <c r="J42" s="22">
        <f>+H42-I42</f>
        <v>0</v>
      </c>
      <c r="K42" s="22">
        <f>1533588+58314+282281</f>
        <v>1874183</v>
      </c>
      <c r="L42" s="22">
        <f>1533588+58314+282281</f>
        <v>1874183</v>
      </c>
      <c r="M42" s="22">
        <f>+K42-L42</f>
        <v>0</v>
      </c>
    </row>
    <row r="43" spans="2:13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17" t="s">
        <v>32</v>
      </c>
      <c r="B44" s="22"/>
      <c r="C44" s="22"/>
      <c r="D44" s="22">
        <f>+B44-C44</f>
        <v>0</v>
      </c>
      <c r="E44" s="22"/>
      <c r="F44" s="22">
        <f>5943+8849</f>
        <v>14792</v>
      </c>
      <c r="G44" s="22">
        <f>+E44-F44</f>
        <v>-14792</v>
      </c>
      <c r="H44" s="22"/>
      <c r="I44" s="22"/>
      <c r="J44" s="22">
        <f>+H44-I44</f>
        <v>0</v>
      </c>
      <c r="K44" s="22"/>
      <c r="L44" s="22"/>
      <c r="M44" s="22">
        <f>+K44-L44</f>
        <v>0</v>
      </c>
    </row>
    <row r="45" spans="2:13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17" t="s">
        <v>28</v>
      </c>
      <c r="B46" s="22">
        <v>15086</v>
      </c>
      <c r="C46" s="22">
        <f>1951+5619</f>
        <v>7570</v>
      </c>
      <c r="D46" s="22">
        <f>+B46-C46</f>
        <v>7516</v>
      </c>
      <c r="E46" s="22"/>
      <c r="F46" s="22">
        <v>202738</v>
      </c>
      <c r="G46" s="22">
        <f>+E46-F46</f>
        <v>-202738</v>
      </c>
      <c r="H46" s="22">
        <f>136270+132488+4747</f>
        <v>273505</v>
      </c>
      <c r="I46" s="22">
        <f>136270+132488+4747</f>
        <v>273505</v>
      </c>
      <c r="J46" s="22">
        <f>+H46-I46</f>
        <v>0</v>
      </c>
      <c r="K46" s="22">
        <f>136270+132488+4747</f>
        <v>273505</v>
      </c>
      <c r="L46" s="22">
        <f>136270+132488+4747</f>
        <v>273505</v>
      </c>
      <c r="M46" s="22">
        <f>+K46-L46</f>
        <v>0</v>
      </c>
    </row>
    <row r="47" spans="2:13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17" t="s">
        <v>29</v>
      </c>
      <c r="B48" s="23">
        <f aca="true" t="shared" si="5" ref="B48:J48">+B38-B40-B42-B44-B46</f>
        <v>1129</v>
      </c>
      <c r="C48" s="23">
        <f t="shared" si="5"/>
        <v>14762</v>
      </c>
      <c r="D48" s="24">
        <f t="shared" si="5"/>
        <v>-13633</v>
      </c>
      <c r="E48" s="23">
        <f t="shared" si="5"/>
        <v>78046</v>
      </c>
      <c r="F48" s="23">
        <f t="shared" si="5"/>
        <v>390554</v>
      </c>
      <c r="G48" s="23">
        <f t="shared" si="5"/>
        <v>-312508</v>
      </c>
      <c r="H48" s="23">
        <f t="shared" si="5"/>
        <v>467899</v>
      </c>
      <c r="I48" s="23">
        <f t="shared" si="5"/>
        <v>467899</v>
      </c>
      <c r="J48" s="24">
        <f t="shared" si="5"/>
        <v>0</v>
      </c>
      <c r="K48" s="23">
        <f>+K38-K40-K42-K44-K46</f>
        <v>467899</v>
      </c>
      <c r="L48" s="23">
        <f>+L38-L40-L42-L44-L46</f>
        <v>467899</v>
      </c>
      <c r="M48" s="24">
        <f>+M38-M40-M42-M44-M46</f>
        <v>0</v>
      </c>
    </row>
    <row r="49" ht="12.75">
      <c r="D49" s="20" t="s">
        <v>33</v>
      </c>
    </row>
  </sheetData>
  <sheetProtection/>
  <mergeCells count="12"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  <mergeCell ref="H29:J29"/>
    <mergeCell ref="B4:D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ipalominoc</cp:lastModifiedBy>
  <cp:lastPrinted>2008-11-25T17:27:25Z</cp:lastPrinted>
  <dcterms:created xsi:type="dcterms:W3CDTF">2008-02-21T13:10:19Z</dcterms:created>
  <dcterms:modified xsi:type="dcterms:W3CDTF">2008-12-05T21:11:43Z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