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activeTab="0"/>
  </bookViews>
  <sheets>
    <sheet name="EVALUACION JURIDICA" sheetId="1" r:id="rId1"/>
    <sheet name="VERIFICACION DE LOS D. FINANCIE" sheetId="2" r:id="rId2"/>
    <sheet name="EVALUACIÓN FINANCIERA" sheetId="3" r:id="rId3"/>
    <sheet name="EVALUACIÓN TÉCNICA" sheetId="4" r:id="rId4"/>
    <sheet name="CONCILIACIONES" sheetId="5" state="hidden" r:id="rId5"/>
  </sheets>
  <definedNames>
    <definedName name="_xlnm.Print_Area" localSheetId="2">'EVALUACIÓN FINANCIERA'!$B$1:$J$18</definedName>
    <definedName name="_xlnm.Print_Area" localSheetId="1">'VERIFICACION DE LOS D. FINANCIE'!$B$4:$J$13</definedName>
    <definedName name="_xlnm.Print_Titles" localSheetId="1">'VERIFICACION DE LOS D. FINANCIE'!$A:$A,'VERIFICACION DE LOS D. FINANCIE'!$1:$3</definedName>
  </definedNames>
  <calcPr fullCalcOnLoad="1"/>
</workbook>
</file>

<file path=xl/sharedStrings.xml><?xml version="1.0" encoding="utf-8"?>
<sst xmlns="http://schemas.openxmlformats.org/spreadsheetml/2006/main" count="250" uniqueCount="144">
  <si>
    <t>DOCUMENTO</t>
  </si>
  <si>
    <t>CUMPLE</t>
  </si>
  <si>
    <t>No.</t>
  </si>
  <si>
    <t>PROPONENTE</t>
  </si>
  <si>
    <t>RESULTADO GENERAL</t>
  </si>
  <si>
    <t>CONCILIACIÓN TRIBUTARIA (documento subsanable)</t>
  </si>
  <si>
    <t>RESULTADO</t>
  </si>
  <si>
    <t>FACTORES</t>
  </si>
  <si>
    <t>CALIFICACIÓN</t>
  </si>
  <si>
    <t>% DE PARTICIPACION</t>
  </si>
  <si>
    <t>NO APLICA</t>
  </si>
  <si>
    <t>item</t>
  </si>
  <si>
    <t>PASIVO TOTAL</t>
  </si>
  <si>
    <t>ACTIVO TOTAL</t>
  </si>
  <si>
    <t>ACTIVO CORRIENTE</t>
  </si>
  <si>
    <t>PASIVO CORRIENTE</t>
  </si>
  <si>
    <t>EN MILES</t>
  </si>
  <si>
    <t>PENDIENTE</t>
  </si>
  <si>
    <t>BALANCE</t>
  </si>
  <si>
    <t>RENTA</t>
  </si>
  <si>
    <t>DIF</t>
  </si>
  <si>
    <t>PASIVOS</t>
  </si>
  <si>
    <t>ACTIVOS</t>
  </si>
  <si>
    <t>PATRIMONIO</t>
  </si>
  <si>
    <t>INGRESOS</t>
  </si>
  <si>
    <t>COSTOS</t>
  </si>
  <si>
    <t>GASTOS</t>
  </si>
  <si>
    <t>OTRAS DEDUCCIONES</t>
  </si>
  <si>
    <t>RENTA LIQUIDA</t>
  </si>
  <si>
    <t>AÑO 2005</t>
  </si>
  <si>
    <t>AÑO 2006</t>
  </si>
  <si>
    <t>INVERSION ACTIVOS</t>
  </si>
  <si>
    <t>OK</t>
  </si>
  <si>
    <t>CONCILIACIONES PROPONENTES</t>
  </si>
  <si>
    <r>
      <t>DECLARACIÓN DE RENTA</t>
    </r>
    <r>
      <rPr>
        <sz val="10"/>
        <rFont val="Arial Narrow"/>
        <family val="2"/>
      </rPr>
      <t xml:space="preserve"> (documento subsanable)</t>
    </r>
  </si>
  <si>
    <t>VALOR TOTAL PRESUPUESTO</t>
  </si>
  <si>
    <t>CERTIFICADO ANTECEDENTES DISCIPLINARIOS del contador y del revisor fiscal (ó contador independiente que dictamina o audita los estados financieros) (documento subsanable)</t>
  </si>
  <si>
    <t xml:space="preserve">Balance General y Estado de Resultados comparativos, con Notas Explicativas, con  corte a 31 de diciembre de 2007 - 2006 (documento subsanable) </t>
  </si>
  <si>
    <t>VALOR TOTAL OFERTADO</t>
  </si>
  <si>
    <t>CAPACIDAD DE OFERTA</t>
  </si>
  <si>
    <t>FOLIO 73</t>
  </si>
  <si>
    <t>RELACIÓN PATRIMONIAL &lt;=1.5 (PO/ PT)</t>
  </si>
  <si>
    <t>PRESUPUESTO OFICIAL</t>
  </si>
  <si>
    <t>PATRIMONIO TOTAL</t>
  </si>
  <si>
    <t>ENDEUDAMIENTO &lt;=70 % (PASIVO TOTAL / ACTIVO TOTAL )*100</t>
  </si>
  <si>
    <t>RAZON CORRIENTE &gt;= 1.3 (AC/PC)</t>
  </si>
  <si>
    <t>EVALUACIÓN FINANCIERA: INVITACION DIRECTA Nº 021 DE 2008</t>
  </si>
  <si>
    <r>
      <rPr>
        <b/>
        <sz val="10"/>
        <rFont val="Arial"/>
        <family val="2"/>
      </rPr>
      <t>OBJETO:</t>
    </r>
    <r>
      <rPr>
        <sz val="10"/>
        <rFont val="Arial"/>
        <family val="2"/>
      </rPr>
      <t xml:space="preserve"> REMODELACION Y ADECUACION DEL SALON 106 COMO DATACENTER QUE PERMITA A LA FACULTAD DE INGENIERIA CONSTRUIR UN LABORATORIO DE COMPUTACION DE LATO RENDIMIENTO (COMPUTACION GRIP)</t>
    </r>
  </si>
  <si>
    <t>VDV TELCOM LTDA.</t>
  </si>
  <si>
    <t>FOLIO 22 A FOLIO 29</t>
  </si>
  <si>
    <t>FOLIO 30</t>
  </si>
  <si>
    <t>LA UTILIDAD CONTABLE NO CONCUERDA CON LA PRESENTADA EN EL FORMATO DE CONCILIACION REMITIDO</t>
  </si>
  <si>
    <t>FOLIO 33 A FOLIO 34</t>
  </si>
  <si>
    <t>UNION TEMPORAL MYSI INDUTRONICA</t>
  </si>
  <si>
    <t>AUTOMATISMOS ELECTRICOS Y ELECTRONICOS INDUTRONICA LTDA.</t>
  </si>
  <si>
    <t>MONTAJES Y SERVICIOS INTEGRALES MYSI LTDA.</t>
  </si>
  <si>
    <t>FOLIO 40 AFOLIO 58</t>
  </si>
  <si>
    <t>FOLIO 59 A FOLIO 72</t>
  </si>
  <si>
    <t>FOLIO 74</t>
  </si>
  <si>
    <t>FOLIO 75 A FOLIO 78</t>
  </si>
  <si>
    <t>FOLIO 79 A FOLIO 82</t>
  </si>
  <si>
    <t>NO ENVIA ESTADOS FINANCIEROS COMPARATIVOS 2007-2006</t>
  </si>
  <si>
    <t>DEBE ENVIAR CONCILIACION TRIBUTARIA DE RENTA Y DE PATRIMONIO</t>
  </si>
  <si>
    <t>DEBE ENVIAR CONCILIACION TRIBUTARIA DE RENTA Y DE PATRIMONIO
EXPLICAR LA PERDIDA PRESENTADA EN LA DECLARACION DE RENTA CONTRA LA UTILIDAD DEL BALANCE.</t>
  </si>
  <si>
    <t>CAPITAL DE TRABAJO &gt;=30% Presupuesto Oficial ((AC-PC)</t>
  </si>
  <si>
    <t>UNIVERSIDAD DISTRITAL FRANCISCO JOSE DE CALDAS</t>
  </si>
  <si>
    <t>REVISION TECNICA INVITACION DIRECTA 0021 DE 2008</t>
  </si>
  <si>
    <t xml:space="preserve">1. PARAMETROS DE EVALUACION FIJADOS EN LAS CONDICIONES PARA OFERTAR : </t>
  </si>
  <si>
    <t>EXPERIENCIA GENERAL:presentación de tres (3) certificaciones de contratos ejecutados o en ejecución durante los últimos tres años,  con o sin formalidades plenas, convenios, u otra denominación, suscritos por el proponente, cuyo objeto principal incluya las actividades de: INSTALACION Y/O ADECUACION Y/O REMODELACIÓN  Y/O  MANTENIMIENTO,  DE CENTROS DE COMPUTO.</t>
  </si>
  <si>
    <t>2. SUMATORIA CERTIFICACIONES: La sumatoria de los valores totales de las tres (3) certificados de contratos presentadas, deberá ser mayor o igual al valor del presupuesto oficial de la presente Invitación Directa ($ 140.000.000.00).</t>
  </si>
  <si>
    <t>3.PERSONAL REQUERIDO: Certificaciones del personal a intervenir el desarrollo de la obra</t>
  </si>
  <si>
    <t>EXPERIENCIA GENERAL</t>
  </si>
  <si>
    <t>VALOR CERTIFICACIONES</t>
  </si>
  <si>
    <t>VIGENCIA</t>
  </si>
  <si>
    <t>REGISTRO UNICO DE PROPONENTE (RUP)</t>
  </si>
  <si>
    <t>K CONTRATACION 5000 SMMLV</t>
  </si>
  <si>
    <t xml:space="preserve">CERTIFICACION VISITA TECNICA </t>
  </si>
  <si>
    <t>ORGANIGRAMA</t>
  </si>
  <si>
    <t>CATALOGOS, FICHAS TECNICAS, PLANOS</t>
  </si>
  <si>
    <t>EXPERIENCIA MINIMA DE LA EMPRESA DE 2 AÑOS</t>
  </si>
  <si>
    <t>OBSERVACIONES</t>
  </si>
  <si>
    <t>UNION TEMPORAL MYSI-INDUTRONICA</t>
  </si>
  <si>
    <t>ADMISIBLE</t>
  </si>
  <si>
    <t>CERTIFICACION N° 1: ADECUACION PARA EL PROYECTO PISO 2 DEL DATACENTER COLOMBIA XV DE IMPSAT S.A.</t>
  </si>
  <si>
    <t>AÑO 2007</t>
  </si>
  <si>
    <t>CERTIFICACION N° 2: REALIZACION Y DIRECCION DE LOS TRABAJOS DEL SISTEMA DE CONECTIVIDAD DEL CENTRO DE COMPUTO DEL BANCO DE OCCIDENTE PARA 1834 PUNTOS DE RED CATEGORIA 6AF/UTP, 756 PUNTOS DE FIBRA OPTICA 50/125 MULTIMODO CONECTORES DUPLEX LC Y 18 RACKS DE 210 DE ALTO</t>
  </si>
  <si>
    <t>AÑO 2008</t>
  </si>
  <si>
    <t xml:space="preserve">CERTIFICACION N° 3: SUMINISTRO, INSTALACION, MONTAJE, PRUEBAS Y PUESTA EN OPERACIÓN DE INFRAESTRUCTURA ELECTRICA PARA ADECUACIONES REALIZADAS EN EL DATACENTER SALA SYNAPSIS 1, SALA SYNAPSIS 2, SUMINISTRO, INSTALACION, MONTAJE, PRUEBAS Y PUESTA </t>
  </si>
  <si>
    <t>SUMATORIA CERTIFICACIONES</t>
  </si>
  <si>
    <t>NOTA : EL PROPONENTE ANEXA 5 CERTIFICACIONES PARA LO CUAL LA DIVISION DE RECURSOS FISICOS DE ACUERDO CON EL NUMERAL 2.4.1 DE LOS TERMINOS DE REFERENCIA TOMA LAS TRES PRIMERAS CERTIFICACIONES</t>
  </si>
  <si>
    <r>
      <t xml:space="preserve">DE ACUERDO CON LOS TERMINOS DE REFERENCIA NUMERAL 2.4.4 PERSONAL A INTERVENIR; EL ARQUITECTO QUE PROPONEN, PRESENTA CERTIFICACIONES PERO UNA DE ELLAS NO PRESENTA CUANDO FUE ELECUTADA LA OBRA, NI SE RELACIONA EN LA HOJA DE VIDA, </t>
    </r>
    <r>
      <rPr>
        <sz val="8"/>
        <color indexed="10"/>
        <rFont val="Arial"/>
        <family val="2"/>
      </rPr>
      <t xml:space="preserve">POR LO ANTERIOR SE SOLICITA SE ANEXE EL CONTRATO, LIQUIDACION Y/O CERTIFICACION CON TODOS LOS DATOS. </t>
    </r>
  </si>
  <si>
    <r>
      <t>RAFAEL ENRIQUE ARANZALEZ GARCIA</t>
    </r>
    <r>
      <rPr>
        <sz val="10"/>
        <rFont val="Arial"/>
        <family val="2"/>
      </rPr>
      <t xml:space="preserve">
Jefe División de Recursos Fisicos</t>
    </r>
  </si>
  <si>
    <t>UNIVERSIDAD DISTRITAL FRANCISCO JOSÉ DE CALDAS</t>
  </si>
  <si>
    <t>VICERRECTORIA ADMINISTRATIVA Y FINANCIERA</t>
  </si>
  <si>
    <t>RESULTADO DEL ESTUDIO JURÍDICO</t>
  </si>
  <si>
    <t>DOCUMENTOS JURÍDICOS NUMERAL 2.2</t>
  </si>
  <si>
    <t>CALIFICACIÓN: ADMISIBLE NO ADMISIBLE</t>
  </si>
  <si>
    <t>NUMERAL</t>
  </si>
  <si>
    <t>DOCUMENTO EXIGIDO</t>
  </si>
  <si>
    <t>SUBSANABLE / NO SUBSANABLE</t>
  </si>
  <si>
    <t>PRESENTADO</t>
  </si>
  <si>
    <t>SI</t>
  </si>
  <si>
    <t>NO</t>
  </si>
  <si>
    <t xml:space="preserve">NO </t>
  </si>
  <si>
    <t xml:space="preserve">OBSERVACION </t>
  </si>
  <si>
    <t>2.2.1</t>
  </si>
  <si>
    <t>Carta presentación oferta</t>
  </si>
  <si>
    <t>X</t>
  </si>
  <si>
    <t>2.2.2</t>
  </si>
  <si>
    <t>Autorización de la junta dirctiva de la sociedad o entiodad para presentar propuesta</t>
  </si>
  <si>
    <t>x</t>
  </si>
  <si>
    <t>2.2.3</t>
  </si>
  <si>
    <t>Poder</t>
  </si>
  <si>
    <t>2.2.4</t>
  </si>
  <si>
    <t>Prueba de existencia ,representación legal y facultades</t>
  </si>
  <si>
    <t>2.2.5</t>
  </si>
  <si>
    <t>Documento de integración del Consorcio o Unión Temporal</t>
  </si>
  <si>
    <t>2.2.6</t>
  </si>
  <si>
    <t>Requisitos para los proponentes en Consorcio o Unión Tempòral</t>
  </si>
  <si>
    <t>2.2.7</t>
  </si>
  <si>
    <t>Registro Único de Proponentes</t>
  </si>
  <si>
    <t>2.2.8</t>
  </si>
  <si>
    <t>Garantia de seriedad de la oferta</t>
  </si>
  <si>
    <t>2.2.9</t>
  </si>
  <si>
    <t>Certificado de pagos se seguridad social y aportes parafiscales</t>
  </si>
  <si>
    <t>2.2.10</t>
  </si>
  <si>
    <t>Registro Unico Tributario</t>
  </si>
  <si>
    <t>2.2.11</t>
  </si>
  <si>
    <t>Certificados de Antecedentes disciplinarios y Fiscales</t>
  </si>
  <si>
    <t>De la empresa</t>
  </si>
  <si>
    <t>Del representante legal de la empresa</t>
  </si>
  <si>
    <t>OBSERVACIONES GENERALES</t>
  </si>
  <si>
    <t>CALIFICACION JURIDICA</t>
  </si>
  <si>
    <t>INVITACIÓN DIRECTA Nº 021 DE 2008</t>
  </si>
  <si>
    <t>UNIÓN TEMPORAL INDUTRONICA LTDA</t>
  </si>
  <si>
    <t>VDV TELECOM LTDA</t>
  </si>
  <si>
    <r>
      <t xml:space="preserve">No se acredito certificado de antecedentes disciplinarios y fiscales de ninguna de las empresas que hacen parte a la Unión Temporal. </t>
    </r>
    <r>
      <rPr>
        <b/>
        <sz val="8"/>
        <color indexed="10"/>
        <rFont val="Arial"/>
        <family val="2"/>
      </rPr>
      <t>Debe subsanar.</t>
    </r>
  </si>
  <si>
    <t>NO CUMPLE JURIDICAMENTE</t>
  </si>
  <si>
    <t>PENDIENTE SUBSANAR.</t>
  </si>
  <si>
    <t>N/A</t>
  </si>
  <si>
    <r>
      <t>En la carta de presentacion debe aceptar el ADENDO Nº 3.</t>
    </r>
    <r>
      <rPr>
        <b/>
        <sz val="8"/>
        <color indexed="10"/>
        <rFont val="Arial"/>
        <family val="2"/>
      </rPr>
      <t xml:space="preserve"> Debe subsanar aceptandolo</t>
    </r>
    <r>
      <rPr>
        <b/>
        <sz val="8"/>
        <rFont val="Arial"/>
        <family val="2"/>
      </rPr>
      <t>.</t>
    </r>
  </si>
  <si>
    <t>En la carta de presentacion de la propuesta hay error en el  numero de folios dice  3  siendo en realidad 85.  En la carta de presentación no se acepta el Adendo Nº 3.Debe subsanar</t>
  </si>
  <si>
    <t>El K de contratación como constructor según certificado de Camara de Comercio de Bogotá, es de una capacidad maxima de 2,116,9 SMMLV y lo exigido en los Términos de Referencia es que debe ser igual o superior a 5,000 SMMLV.</t>
  </si>
  <si>
    <r>
      <t>NOTA ESPECIAL</t>
    </r>
    <r>
      <rPr>
        <sz val="8"/>
        <rFont val="Arial"/>
        <family val="0"/>
      </rPr>
      <t>: LAS EMPRESAS QUE DEBAN SUBSANAR ALGUN TIPO DE DOCUMENTO, DEBERÁN HACERLO ANTES DE LAS TRES (3:00 PM.) DEL DÍA</t>
    </r>
    <r>
      <rPr>
        <sz val="8"/>
        <color indexed="10"/>
        <rFont val="Arial"/>
        <family val="2"/>
      </rPr>
      <t>:JUEVES  ONCE (11) DE DICIEMBRE DE 2008</t>
    </r>
    <r>
      <rPr>
        <sz val="8"/>
        <rFont val="Arial"/>
        <family val="0"/>
      </rPr>
      <t xml:space="preserve">. </t>
    </r>
  </si>
</sst>
</file>

<file path=xl/styles.xml><?xml version="1.0" encoding="utf-8"?>
<styleSheet xmlns="http://schemas.openxmlformats.org/spreadsheetml/2006/main">
  <numFmts count="4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.##0"/>
    <numFmt numFmtId="193" formatCode="#.##0.00"/>
    <numFmt numFmtId="194" formatCode="0.000"/>
    <numFmt numFmtId="195" formatCode="0.0"/>
    <numFmt numFmtId="196" formatCode="_ * #,##0.0_ ;_ * \-#,##0.0_ ;_ * &quot;-&quot;??_ ;_ @_ "/>
    <numFmt numFmtId="197" formatCode="_ * #,##0_ ;_ * \-#,##0_ ;_ * &quot;-&quot;??_ ;_ @_ "/>
    <numFmt numFmtId="198" formatCode="&quot;$&quot;\ #,##0.00;[Red]&quot;$&quot;\ #,##0.00"/>
    <numFmt numFmtId="199" formatCode="&quot;$&quot;\ #,##0.00"/>
  </numFmts>
  <fonts count="39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i/>
      <sz val="10"/>
      <color indexed="13"/>
      <name val="Arial"/>
      <family val="2"/>
    </font>
    <font>
      <b/>
      <sz val="10"/>
      <color indexed="13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28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1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justify" wrapText="1"/>
    </xf>
    <xf numFmtId="0" fontId="7" fillId="0" borderId="13" xfId="0" applyFont="1" applyBorder="1" applyAlignment="1">
      <alignment horizontal="justify" wrapText="1"/>
    </xf>
    <xf numFmtId="0" fontId="7" fillId="0" borderId="12" xfId="0" applyFont="1" applyBorder="1" applyAlignment="1">
      <alignment horizontal="justify" wrapText="1"/>
    </xf>
    <xf numFmtId="0" fontId="6" fillId="0" borderId="13" xfId="0" applyFont="1" applyBorder="1" applyAlignment="1">
      <alignment horizontal="justify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3" fontId="6" fillId="0" borderId="17" xfId="0" applyNumberFormat="1" applyFont="1" applyBorder="1" applyAlignment="1">
      <alignment horizontal="right" vertical="center"/>
    </xf>
    <xf numFmtId="0" fontId="0" fillId="0" borderId="0" xfId="0" applyAlignment="1" applyProtection="1">
      <alignment/>
      <protection/>
    </xf>
    <xf numFmtId="0" fontId="0" fillId="24" borderId="0" xfId="0" applyFont="1" applyFill="1" applyAlignment="1">
      <alignment horizontal="center"/>
    </xf>
    <xf numFmtId="0" fontId="0" fillId="0" borderId="0" xfId="0" applyFont="1" applyAlignment="1">
      <alignment wrapText="1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24" borderId="0" xfId="0" applyNumberFormat="1" applyFont="1" applyFill="1" applyAlignment="1">
      <alignment/>
    </xf>
    <xf numFmtId="3" fontId="1" fillId="11" borderId="0" xfId="0" applyNumberFormat="1" applyFont="1" applyFill="1" applyAlignment="1">
      <alignment/>
    </xf>
    <xf numFmtId="0" fontId="1" fillId="0" borderId="0" xfId="0" applyFont="1" applyAlignment="1">
      <alignment horizontal="center" vertical="center" wrapText="1"/>
    </xf>
    <xf numFmtId="3" fontId="6" fillId="0" borderId="18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vertical="justify" wrapText="1"/>
    </xf>
    <xf numFmtId="0" fontId="0" fillId="0" borderId="0" xfId="0" applyFont="1" applyBorder="1" applyAlignment="1">
      <alignment horizontal="center" vertical="justify" wrapText="1"/>
    </xf>
    <xf numFmtId="9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ill="1" applyAlignment="1" applyProtection="1">
      <alignment/>
      <protection/>
    </xf>
    <xf numFmtId="0" fontId="1" fillId="0" borderId="20" xfId="0" applyFont="1" applyFill="1" applyBorder="1" applyAlignment="1" applyProtection="1">
      <alignment vertical="center" wrapText="1"/>
      <protection/>
    </xf>
    <xf numFmtId="0" fontId="1" fillId="0" borderId="2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25" borderId="0" xfId="0" applyFont="1" applyFill="1" applyAlignment="1">
      <alignment horizontal="center" vertical="center"/>
    </xf>
    <xf numFmtId="0" fontId="8" fillId="25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 wrapText="1"/>
    </xf>
    <xf numFmtId="3" fontId="14" fillId="0" borderId="0" xfId="62" applyNumberFormat="1" applyAlignment="1">
      <alignment vertical="center"/>
      <protection/>
    </xf>
    <xf numFmtId="0" fontId="0" fillId="0" borderId="0" xfId="0" applyAlignment="1">
      <alignment vertical="center"/>
    </xf>
    <xf numFmtId="3" fontId="1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 vertical="center" wrapText="1"/>
    </xf>
    <xf numFmtId="9" fontId="0" fillId="0" borderId="0" xfId="0" applyNumberFormat="1" applyAlignment="1">
      <alignment horizontal="center" vertical="center"/>
    </xf>
    <xf numFmtId="0" fontId="31" fillId="0" borderId="16" xfId="61" applyFont="1" applyBorder="1" applyAlignment="1">
      <alignment vertical="center" wrapText="1"/>
      <protection/>
    </xf>
    <xf numFmtId="3" fontId="14" fillId="0" borderId="16" xfId="62" applyNumberFormat="1" applyBorder="1" applyAlignment="1">
      <alignment vertical="center"/>
      <protection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2" fillId="26" borderId="16" xfId="0" applyFont="1" applyFill="1" applyBorder="1" applyAlignment="1">
      <alignment horizontal="center" vertical="center"/>
    </xf>
    <xf numFmtId="197" fontId="33" fillId="26" borderId="16" xfId="48" applyNumberFormat="1" applyFont="1" applyFill="1" applyBorder="1" applyAlignment="1">
      <alignment vertical="center" wrapText="1"/>
    </xf>
    <xf numFmtId="0" fontId="11" fillId="0" borderId="12" xfId="0" applyFont="1" applyBorder="1" applyAlignment="1">
      <alignment horizontal="justify" vertical="center"/>
    </xf>
    <xf numFmtId="0" fontId="12" fillId="0" borderId="23" xfId="0" applyFont="1" applyBorder="1" applyAlignment="1">
      <alignment horizontal="justify" vertical="center"/>
    </xf>
    <xf numFmtId="0" fontId="11" fillId="0" borderId="24" xfId="0" applyFont="1" applyBorder="1" applyAlignment="1">
      <alignment horizontal="justify" vertical="center" wrapText="1"/>
    </xf>
    <xf numFmtId="0" fontId="4" fillId="0" borderId="25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8" fillId="16" borderId="10" xfId="0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3" fontId="6" fillId="0" borderId="26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1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right" vertic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3" fontId="34" fillId="26" borderId="0" xfId="0" applyNumberFormat="1" applyFont="1" applyFill="1" applyAlignment="1">
      <alignment vertical="center" wrapText="1"/>
    </xf>
    <xf numFmtId="3" fontId="8" fillId="25" borderId="0" xfId="0" applyNumberFormat="1" applyFont="1" applyFill="1" applyAlignment="1">
      <alignment horizontal="right" wrapText="1"/>
    </xf>
    <xf numFmtId="3" fontId="8" fillId="0" borderId="0" xfId="0" applyNumberFormat="1" applyFont="1" applyAlignment="1">
      <alignment horizontal="right"/>
    </xf>
    <xf numFmtId="0" fontId="2" fillId="0" borderId="0" xfId="0" applyFont="1" applyBorder="1" applyAlignment="1">
      <alignment vertical="center"/>
    </xf>
    <xf numFmtId="3" fontId="6" fillId="0" borderId="27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11" fillId="0" borderId="37" xfId="0" applyFont="1" applyBorder="1" applyAlignment="1">
      <alignment horizontal="justify" vertical="center" wrapText="1"/>
    </xf>
    <xf numFmtId="0" fontId="11" fillId="0" borderId="13" xfId="0" applyFont="1" applyBorder="1" applyAlignment="1">
      <alignment horizontal="justify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40" xfId="0" applyFont="1" applyBorder="1" applyAlignment="1">
      <alignment vertical="center" wrapText="1"/>
    </xf>
    <xf numFmtId="3" fontId="6" fillId="0" borderId="41" xfId="0" applyNumberFormat="1" applyFont="1" applyBorder="1" applyAlignment="1">
      <alignment horizontal="right" vertical="center"/>
    </xf>
    <xf numFmtId="3" fontId="6" fillId="0" borderId="42" xfId="0" applyNumberFormat="1" applyFont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11" xfId="0" applyFont="1" applyBorder="1" applyAlignment="1">
      <alignment horizontal="justify" vertical="center" wrapText="1"/>
    </xf>
    <xf numFmtId="0" fontId="0" fillId="0" borderId="34" xfId="0" applyFont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justify" vertical="center" wrapText="1"/>
    </xf>
    <xf numFmtId="198" fontId="0" fillId="0" borderId="16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99" fontId="1" fillId="0" borderId="16" xfId="0" applyNumberFormat="1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9" xfId="0" applyFont="1" applyFill="1" applyBorder="1" applyAlignment="1">
      <alignment horizontal="center" vertical="center"/>
    </xf>
    <xf numFmtId="0" fontId="37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37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52" xfId="0" applyFont="1" applyFill="1" applyBorder="1" applyAlignment="1">
      <alignment horizontal="center" vertical="center"/>
    </xf>
    <xf numFmtId="0" fontId="37" fillId="0" borderId="53" xfId="0" applyFont="1" applyFill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37" fillId="0" borderId="39" xfId="0" applyFont="1" applyBorder="1" applyAlignment="1">
      <alignment horizontal="center"/>
    </xf>
    <xf numFmtId="0" fontId="37" fillId="0" borderId="19" xfId="0" applyFont="1" applyBorder="1" applyAlignment="1">
      <alignment horizontal="center" wrapText="1"/>
    </xf>
    <xf numFmtId="0" fontId="37" fillId="0" borderId="54" xfId="0" applyFont="1" applyFill="1" applyBorder="1" applyAlignment="1">
      <alignment horizontal="center"/>
    </xf>
    <xf numFmtId="0" fontId="37" fillId="0" borderId="44" xfId="0" applyFont="1" applyFill="1" applyBorder="1" applyAlignment="1">
      <alignment horizontal="center"/>
    </xf>
    <xf numFmtId="0" fontId="37" fillId="0" borderId="43" xfId="0" applyFont="1" applyFill="1" applyBorder="1" applyAlignment="1">
      <alignment horizontal="center" vertical="center"/>
    </xf>
    <xf numFmtId="0" fontId="37" fillId="0" borderId="54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wrapText="1"/>
    </xf>
    <xf numFmtId="0" fontId="37" fillId="0" borderId="55" xfId="0" applyFont="1" applyFill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wrapText="1"/>
    </xf>
    <xf numFmtId="0" fontId="37" fillId="0" borderId="54" xfId="0" applyFont="1" applyBorder="1" applyAlignment="1">
      <alignment horizontal="center"/>
    </xf>
    <xf numFmtId="0" fontId="37" fillId="0" borderId="44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7" fillId="0" borderId="25" xfId="0" applyFont="1" applyFill="1" applyBorder="1" applyAlignment="1">
      <alignment horizontal="center" vertical="center"/>
    </xf>
    <xf numFmtId="0" fontId="37" fillId="0" borderId="3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left" vertical="center" wrapText="1"/>
    </xf>
    <xf numFmtId="0" fontId="37" fillId="0" borderId="48" xfId="0" applyFont="1" applyBorder="1" applyAlignment="1">
      <alignment horizontal="center"/>
    </xf>
    <xf numFmtId="0" fontId="37" fillId="0" borderId="43" xfId="0" applyFont="1" applyFill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37" fillId="0" borderId="25" xfId="0" applyFont="1" applyBorder="1" applyAlignment="1">
      <alignment horizontal="center"/>
    </xf>
    <xf numFmtId="0" fontId="37" fillId="0" borderId="55" xfId="0" applyFont="1" applyFill="1" applyBorder="1" applyAlignment="1">
      <alignment horizontal="center"/>
    </xf>
    <xf numFmtId="0" fontId="37" fillId="0" borderId="44" xfId="0" applyFont="1" applyBorder="1" applyAlignment="1">
      <alignment horizontal="center" wrapText="1"/>
    </xf>
    <xf numFmtId="0" fontId="0" fillId="0" borderId="47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37" fillId="0" borderId="47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left" vertical="center"/>
    </xf>
    <xf numFmtId="0" fontId="37" fillId="0" borderId="44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45" xfId="0" applyFont="1" applyFill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5" fillId="22" borderId="45" xfId="0" applyFont="1" applyFill="1" applyBorder="1" applyAlignment="1">
      <alignment horizontal="center" vertical="center"/>
    </xf>
    <xf numFmtId="0" fontId="35" fillId="22" borderId="46" xfId="0" applyFont="1" applyFill="1" applyBorder="1" applyAlignment="1">
      <alignment horizontal="center" vertical="center"/>
    </xf>
    <xf numFmtId="0" fontId="35" fillId="22" borderId="47" xfId="0" applyFont="1" applyFill="1" applyBorder="1" applyAlignment="1">
      <alignment horizontal="center" vertical="center"/>
    </xf>
    <xf numFmtId="0" fontId="35" fillId="7" borderId="45" xfId="0" applyFont="1" applyFill="1" applyBorder="1" applyAlignment="1">
      <alignment horizontal="center" vertical="center"/>
    </xf>
    <xf numFmtId="0" fontId="35" fillId="7" borderId="46" xfId="0" applyFont="1" applyFill="1" applyBorder="1" applyAlignment="1">
      <alignment horizontal="center" vertical="center"/>
    </xf>
    <xf numFmtId="0" fontId="35" fillId="7" borderId="4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56" xfId="0" applyFont="1" applyFill="1" applyBorder="1" applyAlignment="1">
      <alignment horizontal="left" vertical="center"/>
    </xf>
    <xf numFmtId="0" fontId="37" fillId="0" borderId="45" xfId="0" applyFont="1" applyFill="1" applyBorder="1" applyAlignment="1">
      <alignment horizontal="center" vertical="center"/>
    </xf>
    <xf numFmtId="0" fontId="37" fillId="0" borderId="46" xfId="0" applyFont="1" applyFill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7" fillId="0" borderId="46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45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  <xf numFmtId="0" fontId="37" fillId="0" borderId="11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7" fillId="0" borderId="45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37" fillId="0" borderId="45" xfId="0" applyFont="1" applyBorder="1" applyAlignment="1">
      <alignment horizontal="center" vertical="center"/>
    </xf>
    <xf numFmtId="0" fontId="37" fillId="0" borderId="4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7" fillId="0" borderId="46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8" fillId="16" borderId="25" xfId="0" applyFont="1" applyFill="1" applyBorder="1" applyAlignment="1">
      <alignment horizontal="center" vertical="center"/>
    </xf>
    <xf numFmtId="0" fontId="8" fillId="16" borderId="0" xfId="0" applyFont="1" applyFill="1" applyBorder="1" applyAlignment="1">
      <alignment horizontal="center" vertical="center"/>
    </xf>
    <xf numFmtId="0" fontId="8" fillId="16" borderId="19" xfId="0" applyFont="1" applyFill="1" applyBorder="1" applyAlignment="1">
      <alignment horizontal="center" vertical="center"/>
    </xf>
    <xf numFmtId="0" fontId="8" fillId="16" borderId="45" xfId="0" applyFont="1" applyFill="1" applyBorder="1" applyAlignment="1">
      <alignment horizontal="center" vertical="center"/>
    </xf>
    <xf numFmtId="0" fontId="8" fillId="16" borderId="46" xfId="0" applyFont="1" applyFill="1" applyBorder="1" applyAlignment="1">
      <alignment horizontal="center" vertical="center"/>
    </xf>
    <xf numFmtId="0" fontId="8" fillId="16" borderId="47" xfId="0" applyFont="1" applyFill="1" applyBorder="1" applyAlignment="1">
      <alignment horizontal="center" vertical="center"/>
    </xf>
    <xf numFmtId="0" fontId="1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57" xfId="0" applyFont="1" applyFill="1" applyBorder="1" applyAlignment="1" applyProtection="1">
      <alignment horizontal="center" vertical="center" wrapText="1"/>
      <protection/>
    </xf>
    <xf numFmtId="0" fontId="1" fillId="0" borderId="58" xfId="0" applyFont="1" applyFill="1" applyBorder="1" applyAlignment="1" applyProtection="1">
      <alignment horizontal="center" vertical="center" wrapText="1"/>
      <protection/>
    </xf>
    <xf numFmtId="0" fontId="1" fillId="0" borderId="5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 applyProtection="1">
      <alignment horizontal="center" vertical="center" wrapText="1"/>
      <protection/>
    </xf>
    <xf numFmtId="0" fontId="1" fillId="0" borderId="46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justify" vertical="center"/>
    </xf>
    <xf numFmtId="0" fontId="0" fillId="0" borderId="31" xfId="0" applyBorder="1" applyAlignment="1">
      <alignment horizontal="justify" vertical="center"/>
    </xf>
    <xf numFmtId="2" fontId="0" fillId="0" borderId="16" xfId="0" applyNumberFormat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25" borderId="45" xfId="0" applyFont="1" applyFill="1" applyBorder="1" applyAlignment="1">
      <alignment horizontal="center" vertical="center"/>
    </xf>
    <xf numFmtId="0" fontId="13" fillId="25" borderId="46" xfId="0" applyFont="1" applyFill="1" applyBorder="1" applyAlignment="1">
      <alignment horizontal="center" vertical="center"/>
    </xf>
    <xf numFmtId="0" fontId="13" fillId="25" borderId="47" xfId="0" applyFont="1" applyFill="1" applyBorder="1" applyAlignment="1">
      <alignment horizontal="center" vertical="center"/>
    </xf>
    <xf numFmtId="10" fontId="0" fillId="0" borderId="42" xfId="0" applyNumberFormat="1" applyBorder="1" applyAlignment="1">
      <alignment horizontal="center" vertical="center"/>
    </xf>
    <xf numFmtId="10" fontId="0" fillId="0" borderId="16" xfId="0" applyNumberForma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8" fillId="0" borderId="14" xfId="0" applyFont="1" applyBorder="1" applyAlignment="1">
      <alignment horizontal="center" wrapText="1"/>
    </xf>
    <xf numFmtId="0" fontId="8" fillId="0" borderId="58" xfId="0" applyFont="1" applyBorder="1" applyAlignment="1">
      <alignment horizontal="center" wrapText="1"/>
    </xf>
    <xf numFmtId="0" fontId="0" fillId="0" borderId="31" xfId="0" applyFont="1" applyBorder="1" applyAlignment="1">
      <alignment horizontal="justify" vertical="center" wrapText="1"/>
    </xf>
    <xf numFmtId="0" fontId="0" fillId="0" borderId="32" xfId="0" applyFont="1" applyBorder="1" applyAlignment="1">
      <alignment horizontal="justify" vertical="center" wrapText="1"/>
    </xf>
    <xf numFmtId="0" fontId="0" fillId="0" borderId="52" xfId="0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1" fillId="0" borderId="40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6" fillId="0" borderId="14" xfId="0" applyFont="1" applyBorder="1" applyAlignment="1">
      <alignment horizontal="justify" vertical="center"/>
    </xf>
    <xf numFmtId="0" fontId="8" fillId="25" borderId="46" xfId="0" applyFont="1" applyFill="1" applyBorder="1" applyAlignment="1">
      <alignment horizontal="center" vertical="center"/>
    </xf>
    <xf numFmtId="0" fontId="8" fillId="25" borderId="47" xfId="0" applyFont="1" applyFill="1" applyBorder="1" applyAlignment="1">
      <alignment horizontal="center" vertical="center"/>
    </xf>
    <xf numFmtId="10" fontId="0" fillId="0" borderId="34" xfId="0" applyNumberFormat="1" applyBorder="1" applyAlignment="1">
      <alignment horizontal="center" vertical="center"/>
    </xf>
    <xf numFmtId="0" fontId="0" fillId="0" borderId="37" xfId="0" applyFont="1" applyBorder="1" applyAlignment="1">
      <alignment horizontal="justify" vertical="center"/>
    </xf>
    <xf numFmtId="0" fontId="8" fillId="25" borderId="45" xfId="0" applyFont="1" applyFill="1" applyBorder="1" applyAlignment="1">
      <alignment horizontal="center" vertical="center" wrapText="1"/>
    </xf>
    <xf numFmtId="0" fontId="13" fillId="25" borderId="47" xfId="0" applyFont="1" applyFill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justify" vertical="center"/>
    </xf>
    <xf numFmtId="0" fontId="0" fillId="0" borderId="62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35" fillId="0" borderId="46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35" fillId="0" borderId="0" xfId="0" applyFont="1" applyAlignment="1">
      <alignment horizontal="left" wrapText="1"/>
    </xf>
    <xf numFmtId="0" fontId="35" fillId="0" borderId="29" xfId="0" applyFont="1" applyBorder="1" applyAlignment="1">
      <alignment horizontal="left" wrapText="1"/>
    </xf>
    <xf numFmtId="0" fontId="0" fillId="0" borderId="16" xfId="0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1" xfId="54"/>
    <cellStyle name="Normal 12" xfId="55"/>
    <cellStyle name="Normal 13" xfId="56"/>
    <cellStyle name="Normal 14" xfId="57"/>
    <cellStyle name="Normal 15" xfId="58"/>
    <cellStyle name="Normal 16" xfId="59"/>
    <cellStyle name="Normal 17" xfId="60"/>
    <cellStyle name="Normal 18" xfId="61"/>
    <cellStyle name="Normal 2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as" xfId="70"/>
    <cellStyle name="Percent" xfId="71"/>
    <cellStyle name="Salida" xfId="72"/>
    <cellStyle name="Texto de advertencia" xfId="73"/>
    <cellStyle name="Texto explicativo" xfId="74"/>
    <cellStyle name="Título" xfId="75"/>
    <cellStyle name="Título 1" xfId="76"/>
    <cellStyle name="Título 2" xfId="77"/>
    <cellStyle name="Título 3" xfId="78"/>
    <cellStyle name="Total" xfId="79"/>
  </cellStyles>
  <dxfs count="11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B11" sqref="B11:C11"/>
    </sheetView>
  </sheetViews>
  <sheetFormatPr defaultColWidth="11.421875" defaultRowHeight="12.75"/>
  <cols>
    <col min="1" max="1" width="10.8515625" style="0" customWidth="1"/>
    <col min="2" max="2" width="9.140625" style="0" customWidth="1"/>
    <col min="3" max="3" width="36.8515625" style="0" customWidth="1"/>
    <col min="4" max="4" width="5.7109375" style="0" customWidth="1"/>
    <col min="5" max="5" width="5.8515625" style="0" customWidth="1"/>
    <col min="6" max="7" width="6.421875" style="0" customWidth="1"/>
    <col min="8" max="8" width="12.57421875" style="0" customWidth="1"/>
    <col min="9" max="10" width="6.421875" style="0" customWidth="1"/>
    <col min="11" max="11" width="11.8515625" style="0" customWidth="1"/>
    <col min="12" max="16384" width="9.140625" style="0" customWidth="1"/>
  </cols>
  <sheetData>
    <row r="1" spans="1:11" ht="12.75">
      <c r="A1" s="192" t="s">
        <v>92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12.75">
      <c r="A2" s="192" t="s">
        <v>93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ht="12.75">
      <c r="A3" s="192" t="s">
        <v>133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1" ht="12.75">
      <c r="A4" s="192" t="s">
        <v>94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</row>
    <row r="5" spans="1:11" ht="12.75">
      <c r="A5" s="192" t="s">
        <v>95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</row>
    <row r="6" spans="1:11" ht="12.75">
      <c r="A6" s="192" t="s">
        <v>96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</row>
    <row r="7" spans="1:11" ht="13.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6:11" ht="26.25" customHeight="1" thickBot="1">
      <c r="F8" s="188" t="s">
        <v>134</v>
      </c>
      <c r="G8" s="193"/>
      <c r="H8" s="194"/>
      <c r="I8" s="177" t="s">
        <v>135</v>
      </c>
      <c r="J8" s="178"/>
      <c r="K8" s="179"/>
    </row>
    <row r="9" spans="1:11" ht="32.25" customHeight="1" thickBot="1">
      <c r="A9" s="182" t="s">
        <v>97</v>
      </c>
      <c r="B9" s="184" t="s">
        <v>98</v>
      </c>
      <c r="C9" s="185"/>
      <c r="D9" s="188" t="s">
        <v>99</v>
      </c>
      <c r="E9" s="189"/>
      <c r="F9" s="190" t="s">
        <v>100</v>
      </c>
      <c r="G9" s="178"/>
      <c r="H9" s="191"/>
      <c r="I9" s="177" t="s">
        <v>100</v>
      </c>
      <c r="J9" s="178"/>
      <c r="K9" s="179"/>
    </row>
    <row r="10" spans="1:11" ht="13.5" thickBot="1">
      <c r="A10" s="183"/>
      <c r="B10" s="186"/>
      <c r="C10" s="187"/>
      <c r="D10" s="112" t="s">
        <v>101</v>
      </c>
      <c r="E10" s="113" t="s">
        <v>102</v>
      </c>
      <c r="F10" s="114" t="s">
        <v>101</v>
      </c>
      <c r="G10" s="115" t="s">
        <v>103</v>
      </c>
      <c r="H10" s="115" t="s">
        <v>104</v>
      </c>
      <c r="I10" s="114" t="s">
        <v>101</v>
      </c>
      <c r="J10" s="116" t="s">
        <v>102</v>
      </c>
      <c r="K10" s="115" t="s">
        <v>104</v>
      </c>
    </row>
    <row r="11" spans="1:11" ht="169.5" thickBot="1">
      <c r="A11" s="117" t="s">
        <v>105</v>
      </c>
      <c r="B11" s="173" t="s">
        <v>106</v>
      </c>
      <c r="C11" s="174"/>
      <c r="D11" s="118"/>
      <c r="E11" s="125" t="s">
        <v>107</v>
      </c>
      <c r="F11" s="111" t="s">
        <v>107</v>
      </c>
      <c r="G11" s="138"/>
      <c r="H11" s="158" t="s">
        <v>140</v>
      </c>
      <c r="I11" s="132" t="s">
        <v>110</v>
      </c>
      <c r="J11" s="147"/>
      <c r="K11" s="153" t="s">
        <v>141</v>
      </c>
    </row>
    <row r="12" spans="1:11" ht="24.75" customHeight="1" thickBot="1">
      <c r="A12" s="117" t="s">
        <v>108</v>
      </c>
      <c r="B12" s="180" t="s">
        <v>109</v>
      </c>
      <c r="C12" s="181"/>
      <c r="D12" s="118"/>
      <c r="E12" s="125" t="s">
        <v>110</v>
      </c>
      <c r="F12" s="127" t="s">
        <v>110</v>
      </c>
      <c r="G12" s="128"/>
      <c r="H12" s="140"/>
      <c r="I12" s="135" t="s">
        <v>107</v>
      </c>
      <c r="J12" s="148"/>
      <c r="K12" s="141"/>
    </row>
    <row r="13" spans="1:11" ht="13.5" thickBot="1">
      <c r="A13" s="117" t="s">
        <v>111</v>
      </c>
      <c r="B13" s="173" t="s">
        <v>112</v>
      </c>
      <c r="C13" s="174"/>
      <c r="D13" s="118" t="s">
        <v>110</v>
      </c>
      <c r="E13" s="125"/>
      <c r="F13" s="145" t="s">
        <v>110</v>
      </c>
      <c r="G13" s="138"/>
      <c r="H13" s="139"/>
      <c r="I13" s="146" t="s">
        <v>107</v>
      </c>
      <c r="J13" s="147"/>
      <c r="K13" s="115"/>
    </row>
    <row r="14" spans="1:11" ht="13.5" thickBot="1">
      <c r="A14" s="117" t="s">
        <v>113</v>
      </c>
      <c r="B14" s="173" t="s">
        <v>114</v>
      </c>
      <c r="C14" s="174"/>
      <c r="D14" s="118"/>
      <c r="E14" s="125" t="s">
        <v>110</v>
      </c>
      <c r="F14" s="151" t="s">
        <v>110</v>
      </c>
      <c r="G14" s="128"/>
      <c r="H14" s="140"/>
      <c r="I14" s="152" t="s">
        <v>107</v>
      </c>
      <c r="J14" s="148"/>
      <c r="K14" s="141"/>
    </row>
    <row r="15" spans="1:11" ht="15" customHeight="1" thickBot="1">
      <c r="A15" s="117" t="s">
        <v>115</v>
      </c>
      <c r="B15" s="173" t="s">
        <v>116</v>
      </c>
      <c r="C15" s="174"/>
      <c r="D15" s="118"/>
      <c r="E15" s="125" t="s">
        <v>110</v>
      </c>
      <c r="F15" s="145" t="s">
        <v>110</v>
      </c>
      <c r="G15" s="138"/>
      <c r="H15" s="131"/>
      <c r="I15" s="146" t="s">
        <v>139</v>
      </c>
      <c r="J15" s="149"/>
      <c r="K15" s="150"/>
    </row>
    <row r="16" spans="1:11" ht="23.25" customHeight="1" thickBot="1">
      <c r="A16" s="117" t="s">
        <v>117</v>
      </c>
      <c r="B16" s="173" t="s">
        <v>118</v>
      </c>
      <c r="C16" s="174"/>
      <c r="D16" s="118" t="s">
        <v>110</v>
      </c>
      <c r="E16" s="125"/>
      <c r="F16" s="127" t="s">
        <v>110</v>
      </c>
      <c r="G16" s="128"/>
      <c r="H16" s="140"/>
      <c r="I16" s="135" t="s">
        <v>139</v>
      </c>
      <c r="J16" s="148"/>
      <c r="K16" s="141"/>
    </row>
    <row r="17" spans="1:11" ht="13.5" thickBot="1">
      <c r="A17" s="117" t="s">
        <v>119</v>
      </c>
      <c r="B17" s="173" t="s">
        <v>120</v>
      </c>
      <c r="C17" s="174"/>
      <c r="D17" s="118" t="s">
        <v>110</v>
      </c>
      <c r="E17" s="125"/>
      <c r="F17" s="145" t="s">
        <v>110</v>
      </c>
      <c r="G17" s="138"/>
      <c r="H17" s="139"/>
      <c r="I17" s="146"/>
      <c r="J17" s="147"/>
      <c r="K17" s="115"/>
    </row>
    <row r="18" spans="1:11" ht="61.5" customHeight="1" thickBot="1">
      <c r="A18" s="117" t="s">
        <v>121</v>
      </c>
      <c r="B18" s="173" t="s">
        <v>122</v>
      </c>
      <c r="C18" s="174"/>
      <c r="D18" s="118"/>
      <c r="E18" s="125" t="s">
        <v>110</v>
      </c>
      <c r="F18" s="142" t="s">
        <v>110</v>
      </c>
      <c r="G18" s="143"/>
      <c r="H18" s="144"/>
      <c r="I18" s="135" t="s">
        <v>107</v>
      </c>
      <c r="J18" s="128"/>
      <c r="K18" s="137"/>
    </row>
    <row r="19" spans="1:11" ht="21.75" customHeight="1" thickBot="1">
      <c r="A19" s="117" t="s">
        <v>123</v>
      </c>
      <c r="B19" s="173" t="s">
        <v>124</v>
      </c>
      <c r="C19" s="174"/>
      <c r="D19" s="118" t="s">
        <v>110</v>
      </c>
      <c r="E19" s="125"/>
      <c r="F19" s="111" t="s">
        <v>110</v>
      </c>
      <c r="G19" s="138"/>
      <c r="H19" s="139"/>
      <c r="I19" s="132" t="s">
        <v>107</v>
      </c>
      <c r="J19" s="138"/>
      <c r="K19" s="115"/>
    </row>
    <row r="20" spans="1:11" ht="13.5" thickBot="1">
      <c r="A20" s="117" t="s">
        <v>125</v>
      </c>
      <c r="B20" s="173" t="s">
        <v>126</v>
      </c>
      <c r="C20" s="174"/>
      <c r="D20" s="118" t="s">
        <v>110</v>
      </c>
      <c r="E20" s="125"/>
      <c r="F20" s="127" t="s">
        <v>110</v>
      </c>
      <c r="G20" s="128"/>
      <c r="H20" s="140"/>
      <c r="I20" s="135" t="s">
        <v>107</v>
      </c>
      <c r="J20" s="128"/>
      <c r="K20" s="141"/>
    </row>
    <row r="21" spans="1:11" ht="13.5" thickBot="1">
      <c r="A21" s="117" t="s">
        <v>127</v>
      </c>
      <c r="B21" s="173" t="s">
        <v>128</v>
      </c>
      <c r="C21" s="174"/>
      <c r="D21" s="118" t="s">
        <v>110</v>
      </c>
      <c r="E21" s="125"/>
      <c r="F21" s="111"/>
      <c r="G21" s="138"/>
      <c r="H21" s="139"/>
      <c r="I21" s="132" t="s">
        <v>107</v>
      </c>
      <c r="J21" s="133"/>
      <c r="K21" s="134"/>
    </row>
    <row r="22" spans="1:11" ht="135.75" thickBot="1">
      <c r="A22" s="119"/>
      <c r="B22" s="173" t="s">
        <v>129</v>
      </c>
      <c r="C22" s="174"/>
      <c r="D22" s="118"/>
      <c r="E22" s="125"/>
      <c r="F22" s="127"/>
      <c r="G22" s="125" t="s">
        <v>110</v>
      </c>
      <c r="H22" s="129" t="s">
        <v>136</v>
      </c>
      <c r="I22" s="135" t="s">
        <v>107</v>
      </c>
      <c r="J22" s="136"/>
      <c r="K22" s="137"/>
    </row>
    <row r="23" spans="1:11" ht="13.5" thickBot="1">
      <c r="A23" s="120"/>
      <c r="B23" s="173" t="s">
        <v>130</v>
      </c>
      <c r="C23" s="174"/>
      <c r="D23" s="121"/>
      <c r="E23" s="126"/>
      <c r="F23" s="111"/>
      <c r="G23" s="130"/>
      <c r="H23" s="131"/>
      <c r="I23" s="132" t="s">
        <v>107</v>
      </c>
      <c r="J23" s="133"/>
      <c r="K23" s="134"/>
    </row>
    <row r="24" spans="1:11" ht="100.5" customHeight="1" thickBot="1">
      <c r="A24" s="175" t="s">
        <v>131</v>
      </c>
      <c r="B24" s="176"/>
      <c r="C24" s="176"/>
      <c r="D24" s="176"/>
      <c r="E24" s="156"/>
      <c r="F24" s="157"/>
      <c r="G24" s="155"/>
      <c r="H24" s="154"/>
      <c r="I24" s="160" t="s">
        <v>142</v>
      </c>
      <c r="J24" s="161"/>
      <c r="K24" s="162"/>
    </row>
    <row r="25" spans="1:11" ht="24" customHeight="1" thickBot="1">
      <c r="A25" s="163" t="s">
        <v>132</v>
      </c>
      <c r="B25" s="164"/>
      <c r="C25" s="164"/>
      <c r="D25" s="165"/>
      <c r="E25" s="166"/>
      <c r="F25" s="167" t="s">
        <v>138</v>
      </c>
      <c r="G25" s="168"/>
      <c r="H25" s="169"/>
      <c r="I25" s="170" t="s">
        <v>137</v>
      </c>
      <c r="J25" s="171"/>
      <c r="K25" s="172"/>
    </row>
    <row r="26" spans="1:11" ht="12.75">
      <c r="A26" s="122"/>
      <c r="B26" s="159"/>
      <c r="C26" s="159"/>
      <c r="D26" s="122"/>
      <c r="E26" s="122"/>
      <c r="F26" s="122"/>
      <c r="G26" s="122"/>
      <c r="H26" s="122"/>
      <c r="I26" s="122"/>
      <c r="J26" s="122"/>
      <c r="K26" s="122"/>
    </row>
    <row r="27" spans="1:11" ht="12.75">
      <c r="A27" s="122"/>
      <c r="B27" s="124" t="s">
        <v>143</v>
      </c>
      <c r="C27" s="123"/>
      <c r="D27" s="122"/>
      <c r="E27" s="122"/>
      <c r="F27" s="122"/>
      <c r="G27" s="122"/>
      <c r="H27" s="122"/>
      <c r="I27" s="122"/>
      <c r="J27" s="122"/>
      <c r="K27" s="122"/>
    </row>
    <row r="28" spans="1:11" ht="12.75">
      <c r="A28" s="122"/>
      <c r="B28" s="159"/>
      <c r="C28" s="159"/>
      <c r="D28" s="122"/>
      <c r="E28" s="122"/>
      <c r="F28" s="122"/>
      <c r="G28" s="122"/>
      <c r="H28" s="122"/>
      <c r="I28" s="122"/>
      <c r="J28" s="122"/>
      <c r="K28" s="122"/>
    </row>
  </sheetData>
  <sheetProtection password="CED1" sheet="1" objects="1" scenarios="1"/>
  <mergeCells count="34">
    <mergeCell ref="A1:K1"/>
    <mergeCell ref="A2:K2"/>
    <mergeCell ref="A3:K3"/>
    <mergeCell ref="A4:K4"/>
    <mergeCell ref="A5:K5"/>
    <mergeCell ref="A6:K6"/>
    <mergeCell ref="F8:H8"/>
    <mergeCell ref="I8:K8"/>
    <mergeCell ref="A9:A10"/>
    <mergeCell ref="B9:C10"/>
    <mergeCell ref="D9:E9"/>
    <mergeCell ref="F9:H9"/>
    <mergeCell ref="I9:K9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A24:E24"/>
    <mergeCell ref="F24:H24"/>
    <mergeCell ref="B28:C28"/>
    <mergeCell ref="B26:C26"/>
    <mergeCell ref="I24:K24"/>
    <mergeCell ref="A25:E25"/>
    <mergeCell ref="F25:H25"/>
    <mergeCell ref="I25:K25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zoomScale="85" zoomScaleNormal="85" zoomScalePageLayoutView="0" workbookViewId="0" topLeftCell="A10">
      <pane xSplit="1" topLeftCell="B1" activePane="topRight" state="frozen"/>
      <selection pane="topLeft" activeCell="C14" sqref="C14:C15"/>
      <selection pane="topRight" activeCell="B17" sqref="B17"/>
    </sheetView>
  </sheetViews>
  <sheetFormatPr defaultColWidth="11.421875" defaultRowHeight="12.75"/>
  <cols>
    <col min="1" max="1" width="39.28125" style="2" customWidth="1"/>
    <col min="2" max="2" width="13.7109375" style="0" customWidth="1"/>
    <col min="3" max="3" width="22.00390625" style="0" customWidth="1"/>
    <col min="4" max="4" width="5.7109375" style="0" customWidth="1"/>
    <col min="5" max="5" width="13.7109375" style="0" customWidth="1"/>
    <col min="6" max="6" width="27.00390625" style="0" customWidth="1"/>
    <col min="7" max="7" width="5.7109375" style="0" customWidth="1"/>
    <col min="8" max="8" width="15.421875" style="0" customWidth="1"/>
    <col min="9" max="9" width="16.28125" style="0" customWidth="1"/>
    <col min="10" max="10" width="5.7109375" style="0" customWidth="1"/>
  </cols>
  <sheetData>
    <row r="1" spans="1:10" ht="47.25" customHeight="1" thickBot="1">
      <c r="A1" s="70" t="s">
        <v>46</v>
      </c>
      <c r="B1" s="68"/>
      <c r="C1" s="68"/>
      <c r="D1" s="68"/>
      <c r="E1" s="69"/>
      <c r="F1" s="69"/>
      <c r="G1" s="69"/>
      <c r="H1" s="69"/>
      <c r="I1" s="69"/>
      <c r="J1" s="69"/>
    </row>
    <row r="2" spans="1:10" ht="101.25" customHeight="1">
      <c r="A2" s="103" t="s">
        <v>47</v>
      </c>
      <c r="B2" s="28"/>
      <c r="C2" s="28"/>
      <c r="D2" s="28"/>
      <c r="E2" s="29"/>
      <c r="F2" s="29"/>
      <c r="G2" s="29"/>
      <c r="H2" s="29"/>
      <c r="I2" s="29"/>
      <c r="J2" s="29"/>
    </row>
    <row r="3" spans="1:10" ht="13.5" thickBot="1">
      <c r="A3" s="71"/>
      <c r="B3" s="64"/>
      <c r="C3" s="64"/>
      <c r="D3" s="64"/>
      <c r="E3" s="64"/>
      <c r="F3" s="64"/>
      <c r="G3" s="64"/>
      <c r="H3" s="64"/>
      <c r="I3" s="64"/>
      <c r="J3" s="64"/>
    </row>
    <row r="4" spans="1:10" s="36" customFormat="1" ht="24.75" customHeight="1" thickBot="1">
      <c r="A4" s="63" t="s">
        <v>2</v>
      </c>
      <c r="B4" s="207">
        <v>1</v>
      </c>
      <c r="C4" s="208"/>
      <c r="D4" s="209"/>
      <c r="E4" s="210">
        <f>+B4+1</f>
        <v>2</v>
      </c>
      <c r="F4" s="211"/>
      <c r="G4" s="211"/>
      <c r="H4" s="211"/>
      <c r="I4" s="211"/>
      <c r="J4" s="212"/>
    </row>
    <row r="5" spans="1:10" ht="12.75" customHeight="1">
      <c r="A5" s="195" t="s">
        <v>3</v>
      </c>
      <c r="B5" s="198" t="s">
        <v>48</v>
      </c>
      <c r="C5" s="199"/>
      <c r="D5" s="200"/>
      <c r="E5" s="198" t="s">
        <v>53</v>
      </c>
      <c r="F5" s="199"/>
      <c r="G5" s="199"/>
      <c r="H5" s="199"/>
      <c r="I5" s="199"/>
      <c r="J5" s="219"/>
    </row>
    <row r="6" spans="1:10" ht="13.5" thickBot="1">
      <c r="A6" s="196"/>
      <c r="B6" s="201"/>
      <c r="C6" s="202"/>
      <c r="D6" s="203"/>
      <c r="E6" s="220"/>
      <c r="F6" s="221"/>
      <c r="G6" s="221"/>
      <c r="H6" s="221"/>
      <c r="I6" s="221"/>
      <c r="J6" s="222"/>
    </row>
    <row r="7" spans="1:10" ht="25.5" customHeight="1" thickBot="1">
      <c r="A7" s="197"/>
      <c r="B7" s="204"/>
      <c r="C7" s="205"/>
      <c r="D7" s="206"/>
      <c r="E7" s="223" t="s">
        <v>55</v>
      </c>
      <c r="F7" s="224"/>
      <c r="G7" s="224"/>
      <c r="H7" s="223" t="s">
        <v>54</v>
      </c>
      <c r="I7" s="224"/>
      <c r="J7" s="225"/>
    </row>
    <row r="8" spans="1:10" ht="13.5" thickBot="1">
      <c r="A8" s="4" t="s">
        <v>0</v>
      </c>
      <c r="B8" s="56" t="s">
        <v>1</v>
      </c>
      <c r="C8" s="26" t="s">
        <v>17</v>
      </c>
      <c r="D8" s="26" t="s">
        <v>32</v>
      </c>
      <c r="E8" s="56" t="s">
        <v>1</v>
      </c>
      <c r="F8" s="26" t="s">
        <v>17</v>
      </c>
      <c r="G8" s="26" t="s">
        <v>32</v>
      </c>
      <c r="H8" s="56" t="s">
        <v>1</v>
      </c>
      <c r="I8" s="26" t="s">
        <v>17</v>
      </c>
      <c r="J8" s="26" t="s">
        <v>32</v>
      </c>
    </row>
    <row r="9" spans="1:10" ht="108" customHeight="1">
      <c r="A9" s="53" t="s">
        <v>37</v>
      </c>
      <c r="B9" s="25" t="s">
        <v>49</v>
      </c>
      <c r="C9" s="104" t="s">
        <v>61</v>
      </c>
      <c r="D9" s="50"/>
      <c r="E9" s="25" t="s">
        <v>56</v>
      </c>
      <c r="F9" s="104"/>
      <c r="G9" s="50" t="s">
        <v>32</v>
      </c>
      <c r="H9" s="25" t="s">
        <v>57</v>
      </c>
      <c r="I9" s="77"/>
      <c r="J9" s="50" t="s">
        <v>32</v>
      </c>
    </row>
    <row r="10" spans="1:10" ht="47.25" customHeight="1">
      <c r="A10" s="54" t="s">
        <v>34</v>
      </c>
      <c r="B10" s="59" t="s">
        <v>50</v>
      </c>
      <c r="C10" s="57"/>
      <c r="D10" s="48" t="s">
        <v>32</v>
      </c>
      <c r="E10" s="87" t="s">
        <v>40</v>
      </c>
      <c r="F10" s="57"/>
      <c r="G10" s="48" t="s">
        <v>32</v>
      </c>
      <c r="H10" s="87" t="s">
        <v>58</v>
      </c>
      <c r="I10" s="75"/>
      <c r="J10" s="48" t="s">
        <v>32</v>
      </c>
    </row>
    <row r="11" spans="1:10" ht="127.5">
      <c r="A11" s="54" t="s">
        <v>5</v>
      </c>
      <c r="B11" s="59"/>
      <c r="C11" s="58" t="s">
        <v>51</v>
      </c>
      <c r="D11" s="49"/>
      <c r="E11" s="90"/>
      <c r="F11" s="58" t="s">
        <v>63</v>
      </c>
      <c r="G11" s="49"/>
      <c r="H11" s="90"/>
      <c r="I11" s="58" t="s">
        <v>62</v>
      </c>
      <c r="J11" s="49"/>
    </row>
    <row r="12" spans="1:10" ht="66.75" customHeight="1" thickBot="1">
      <c r="A12" s="55" t="s">
        <v>36</v>
      </c>
      <c r="B12" s="60" t="s">
        <v>52</v>
      </c>
      <c r="C12" s="61"/>
      <c r="D12" s="62" t="s">
        <v>32</v>
      </c>
      <c r="E12" s="76" t="s">
        <v>59</v>
      </c>
      <c r="F12" s="78"/>
      <c r="G12" s="62" t="s">
        <v>32</v>
      </c>
      <c r="H12" s="76" t="s">
        <v>60</v>
      </c>
      <c r="I12" s="78"/>
      <c r="J12" s="62" t="s">
        <v>32</v>
      </c>
    </row>
    <row r="13" spans="1:10" s="33" customFormat="1" ht="24.75" customHeight="1" thickBot="1">
      <c r="A13" s="34" t="s">
        <v>4</v>
      </c>
      <c r="B13" s="213" t="str">
        <f>IF(B17=0,"CUMPLE","PENDIENTE")</f>
        <v>PENDIENTE</v>
      </c>
      <c r="C13" s="214"/>
      <c r="D13" s="215"/>
      <c r="E13" s="226" t="str">
        <f>IF(E17=0,"CUMPLE","PENDIENTE")</f>
        <v>PENDIENTE</v>
      </c>
      <c r="F13" s="227"/>
      <c r="G13" s="218"/>
      <c r="H13" s="216" t="str">
        <f>IF(H17=0,"CUMPLE","PENDIENTE")</f>
        <v>PENDIENTE</v>
      </c>
      <c r="I13" s="217"/>
      <c r="J13" s="218"/>
    </row>
    <row r="14" spans="1:10" s="31" customFormat="1" ht="13.5" thickBot="1">
      <c r="A14" s="32"/>
      <c r="G14" s="100"/>
      <c r="H14" s="101"/>
      <c r="I14" s="101"/>
      <c r="J14" s="102"/>
    </row>
    <row r="15" ht="12.75">
      <c r="A15" s="124" t="s">
        <v>143</v>
      </c>
    </row>
    <row r="16" spans="2:8" ht="12.75" hidden="1">
      <c r="B16" t="b">
        <f>AND(D9="OK",D10="OK",D11="OK",D12="OK")</f>
        <v>0</v>
      </c>
      <c r="E16" t="b">
        <f>AND(G9="OK",G10="OK",G11="OK",G12="OK")</f>
        <v>0</v>
      </c>
      <c r="H16" t="b">
        <f>AND(J9="OK",J10="OK",J11="OK",J12="OK")</f>
        <v>0</v>
      </c>
    </row>
    <row r="17" spans="2:8" ht="12.75" hidden="1">
      <c r="B17">
        <f>IF(B16=FALSE,1,0)</f>
        <v>1</v>
      </c>
      <c r="E17">
        <f>IF(E16=FALSE,1,0)</f>
        <v>1</v>
      </c>
      <c r="H17">
        <f>IF(H16=FALSE,1,0)</f>
        <v>1</v>
      </c>
    </row>
  </sheetData>
  <sheetProtection password="CED1" sheet="1"/>
  <mergeCells count="10">
    <mergeCell ref="B13:D13"/>
    <mergeCell ref="H13:J13"/>
    <mergeCell ref="E5:J6"/>
    <mergeCell ref="E7:G7"/>
    <mergeCell ref="H7:J7"/>
    <mergeCell ref="E13:G13"/>
    <mergeCell ref="A5:A7"/>
    <mergeCell ref="B5:D7"/>
    <mergeCell ref="B4:D4"/>
    <mergeCell ref="E4:J4"/>
  </mergeCells>
  <conditionalFormatting sqref="B13 E13 H13">
    <cfRule type="expression" priority="1" dxfId="111" stopIfTrue="1">
      <formula>B17=1</formula>
    </cfRule>
  </conditionalFormatting>
  <printOptions horizontalCentered="1"/>
  <pageMargins left="0.1968503937007874" right="0.31496062992125984" top="1.1023622047244095" bottom="0.984251968503937" header="0" footer="0"/>
  <pageSetup fitToHeight="1" fitToWidth="1" horizontalDpi="1200" verticalDpi="1200" orientation="landscape" scale="75" r:id="rId1"/>
  <headerFooter alignWithMargins="0">
    <oddFooter>&amp;CEvaluación Invitación Dirécta 021 de 2008 &amp;RHoja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GridLines="0" zoomScale="85" zoomScaleNormal="85" zoomScalePageLayoutView="0" workbookViewId="0" topLeftCell="A10">
      <pane xSplit="3" topLeftCell="E1" activePane="topRight" state="frozen"/>
      <selection pane="topLeft" activeCell="D12" sqref="D12"/>
      <selection pane="topRight" activeCell="C17" sqref="C17"/>
    </sheetView>
  </sheetViews>
  <sheetFormatPr defaultColWidth="11.421875" defaultRowHeight="12.75"/>
  <cols>
    <col min="1" max="1" width="7.57421875" style="27" customWidth="1"/>
    <col min="2" max="2" width="39.57421875" style="2" customWidth="1"/>
    <col min="3" max="3" width="19.28125" style="2" customWidth="1"/>
    <col min="4" max="4" width="16.7109375" style="2" customWidth="1"/>
    <col min="5" max="7" width="16.140625" style="0" customWidth="1"/>
    <col min="8" max="8" width="16.8515625" style="0" customWidth="1"/>
    <col min="9" max="10" width="16.140625" style="0" customWidth="1"/>
  </cols>
  <sheetData>
    <row r="1" spans="2:10" ht="54.75" customHeight="1">
      <c r="B1" s="242" t="str">
        <f>+'VERIFICACION DE LOS D. FINANCIE'!A1</f>
        <v>EVALUACIÓN FINANCIERA: INVITACION DIRECTA Nº 021 DE 2008</v>
      </c>
      <c r="C1" s="243"/>
      <c r="D1" s="68"/>
      <c r="E1" s="68"/>
      <c r="F1" s="68"/>
      <c r="G1" s="68"/>
      <c r="H1" s="68"/>
      <c r="I1" s="68"/>
      <c r="J1" s="68"/>
    </row>
    <row r="2" spans="2:10" ht="76.5" customHeight="1" thickBot="1">
      <c r="B2" s="244" t="str">
        <f>+'VERIFICACION DE LOS D. FINANCIE'!A2</f>
        <v>OBJETO: REMODELACION Y ADECUACION DEL SALON 106 COMO DATACENTER QUE PERMITA A LA FACULTAD DE INGENIERIA CONSTRUIR UN LABORATORIO DE COMPUTACION DE LATO RENDIMIENTO (COMPUTACION GRIP)</v>
      </c>
      <c r="C2" s="245"/>
      <c r="D2" s="85"/>
      <c r="E2" s="247"/>
      <c r="F2" s="248"/>
      <c r="G2" s="248"/>
      <c r="H2" s="248"/>
      <c r="I2" s="248"/>
      <c r="J2" s="248"/>
    </row>
    <row r="3" ht="13.5" thickBot="1"/>
    <row r="4" spans="1:10" s="38" customFormat="1" ht="24.75" customHeight="1" thickBot="1">
      <c r="A4" s="37"/>
      <c r="B4" s="261" t="s">
        <v>2</v>
      </c>
      <c r="C4" s="262"/>
      <c r="D4" s="236">
        <v>1</v>
      </c>
      <c r="E4" s="237"/>
      <c r="F4" s="238"/>
      <c r="G4" s="236">
        <f>+D4+1</f>
        <v>2</v>
      </c>
      <c r="H4" s="257"/>
      <c r="I4" s="257"/>
      <c r="J4" s="258"/>
    </row>
    <row r="5" spans="2:10" ht="12.75" customHeight="1">
      <c r="B5" s="198" t="s">
        <v>3</v>
      </c>
      <c r="C5" s="253"/>
      <c r="D5" s="198" t="str">
        <f>+'VERIFICACION DE LOS D. FINANCIE'!B5</f>
        <v>VDV TELCOM LTDA.</v>
      </c>
      <c r="E5" s="199"/>
      <c r="F5" s="219"/>
      <c r="G5" s="198" t="str">
        <f>+'VERIFICACION DE LOS D. FINANCIE'!E5</f>
        <v>UNION TEMPORAL MYSI INDUTRONICA</v>
      </c>
      <c r="H5" s="199"/>
      <c r="I5" s="199"/>
      <c r="J5" s="219"/>
    </row>
    <row r="6" spans="2:10" ht="13.5" thickBot="1">
      <c r="B6" s="201"/>
      <c r="C6" s="254"/>
      <c r="D6" s="201"/>
      <c r="E6" s="202"/>
      <c r="F6" s="249"/>
      <c r="G6" s="72"/>
      <c r="H6" s="73"/>
      <c r="I6" s="73"/>
      <c r="J6" s="74"/>
    </row>
    <row r="7" spans="2:10" ht="64.5" thickBot="1">
      <c r="B7" s="204"/>
      <c r="C7" s="255"/>
      <c r="D7" s="220"/>
      <c r="E7" s="221"/>
      <c r="F7" s="222"/>
      <c r="G7" s="80" t="str">
        <f>+'VERIFICACION DE LOS D. FINANCIE'!E7</f>
        <v>MONTAJES Y SERVICIOS INTEGRALES MYSI LTDA.</v>
      </c>
      <c r="H7" s="81" t="str">
        <f>+'VERIFICACION DE LOS D. FINANCIE'!H7</f>
        <v>AUTOMATISMOS ELECTRICOS Y ELECTRONICOS INDUTRONICA LTDA.</v>
      </c>
      <c r="I7" s="73"/>
      <c r="J7" s="74"/>
    </row>
    <row r="8" spans="1:10" s="3" customFormat="1" ht="25.5" customHeight="1" thickBot="1">
      <c r="A8" s="1"/>
      <c r="B8" s="223" t="s">
        <v>9</v>
      </c>
      <c r="C8" s="252"/>
      <c r="D8" s="250" t="s">
        <v>10</v>
      </c>
      <c r="E8" s="251"/>
      <c r="F8" s="252"/>
      <c r="G8" s="92">
        <v>0.8</v>
      </c>
      <c r="H8" s="92">
        <v>0.2</v>
      </c>
      <c r="I8" s="93"/>
      <c r="J8" s="94"/>
    </row>
    <row r="9" spans="2:10" ht="13.5" thickBot="1">
      <c r="B9" s="5" t="s">
        <v>0</v>
      </c>
      <c r="C9" s="10" t="s">
        <v>11</v>
      </c>
      <c r="D9" s="5" t="s">
        <v>7</v>
      </c>
      <c r="E9" s="11" t="s">
        <v>6</v>
      </c>
      <c r="F9" s="91" t="s">
        <v>8</v>
      </c>
      <c r="G9" s="97" t="s">
        <v>7</v>
      </c>
      <c r="H9" s="97" t="s">
        <v>7</v>
      </c>
      <c r="I9" s="98" t="s">
        <v>6</v>
      </c>
      <c r="J9" s="99" t="s">
        <v>8</v>
      </c>
    </row>
    <row r="10" spans="1:10" ht="31.5" customHeight="1">
      <c r="A10" s="30">
        <v>0.7</v>
      </c>
      <c r="B10" s="256" t="s">
        <v>44</v>
      </c>
      <c r="C10" s="6" t="s">
        <v>12</v>
      </c>
      <c r="D10" s="24">
        <v>83895</v>
      </c>
      <c r="E10" s="259">
        <f>+IF(D10="","",D10/D11)</f>
        <v>0.5137382656779116</v>
      </c>
      <c r="F10" s="246" t="str">
        <f>IF(E10&lt;=$A10,"CUMPLE","NO CUMPLE")</f>
        <v>CUMPLE</v>
      </c>
      <c r="G10" s="95">
        <v>3301259.5</v>
      </c>
      <c r="H10" s="96">
        <v>113420.48</v>
      </c>
      <c r="I10" s="239">
        <f>+IF(G10="","",(((G10*G8)+(H10*H8))/((G11*G8)+(H11*H8))))</f>
        <v>0.7846654067175288</v>
      </c>
      <c r="J10" s="241" t="str">
        <f>IF(I10&lt;=$A10,"CUMPLE","NO CUMPLE")</f>
        <v>NO CUMPLE</v>
      </c>
    </row>
    <row r="11" spans="2:10" ht="31.5" customHeight="1" thickBot="1">
      <c r="B11" s="229"/>
      <c r="C11" s="7" t="s">
        <v>13</v>
      </c>
      <c r="D11" s="15">
        <v>163303</v>
      </c>
      <c r="E11" s="240"/>
      <c r="F11" s="232"/>
      <c r="G11" s="15">
        <v>4129559.845</v>
      </c>
      <c r="H11" s="79">
        <v>455184.408</v>
      </c>
      <c r="I11" s="240"/>
      <c r="J11" s="234"/>
    </row>
    <row r="12" spans="1:10" ht="31.5" customHeight="1">
      <c r="A12" s="30">
        <v>0.3</v>
      </c>
      <c r="B12" s="264" t="s">
        <v>64</v>
      </c>
      <c r="C12" s="8" t="s">
        <v>14</v>
      </c>
      <c r="D12" s="15">
        <v>153581</v>
      </c>
      <c r="E12" s="263">
        <f>+IF(D12="","",D12-D13)</f>
        <v>69970</v>
      </c>
      <c r="F12" s="232" t="str">
        <f>+IF(E12&gt;=D$28,"CUMPLE"," NO CUMPLE")</f>
        <v>CUMPLE</v>
      </c>
      <c r="G12" s="15">
        <v>2672067.888</v>
      </c>
      <c r="H12" s="79">
        <v>264774.167</v>
      </c>
      <c r="I12" s="263">
        <f>+IF(G12="","",(((G12*G8)+(H12*H8))-((G13*G8)+(H13*H8))))</f>
        <v>438088.0779999995</v>
      </c>
      <c r="J12" s="234" t="str">
        <f>+IF(I12&gt;=H$28,"CUMPLE"," NO CUMPLE")</f>
        <v>CUMPLE</v>
      </c>
    </row>
    <row r="13" spans="2:10" ht="31.5" customHeight="1" thickBot="1">
      <c r="B13" s="229"/>
      <c r="C13" s="9" t="s">
        <v>15</v>
      </c>
      <c r="D13" s="15">
        <v>83611</v>
      </c>
      <c r="E13" s="263"/>
      <c r="F13" s="232"/>
      <c r="G13" s="15">
        <v>2166818</v>
      </c>
      <c r="H13" s="79">
        <v>95333.329</v>
      </c>
      <c r="I13" s="263"/>
      <c r="J13" s="234"/>
    </row>
    <row r="14" spans="1:10" ht="31.5" customHeight="1">
      <c r="A14" s="27">
        <v>1.3</v>
      </c>
      <c r="B14" s="260" t="s">
        <v>45</v>
      </c>
      <c r="C14" s="8" t="s">
        <v>14</v>
      </c>
      <c r="D14" s="15">
        <f>+D12</f>
        <v>153581</v>
      </c>
      <c r="E14" s="230">
        <f>+IF(D14="","",D14/D15)</f>
        <v>1.8368516104340338</v>
      </c>
      <c r="F14" s="232" t="str">
        <f>+IF(E14&gt;=$A$14,"CUMPLE","NO CUMPLE")</f>
        <v>CUMPLE</v>
      </c>
      <c r="G14" s="15">
        <f>+G12</f>
        <v>2672067.888</v>
      </c>
      <c r="H14" s="79">
        <f>+H12</f>
        <v>264774.167</v>
      </c>
      <c r="I14" s="230">
        <f>+IF(G14="","",(((G14*G8)+(H14*H8))/((G15*G8)+(H15*H8))))</f>
        <v>1.2499759269940751</v>
      </c>
      <c r="J14" s="234" t="str">
        <f>+IF(I14&gt;=$A14,"CUMPLE","NO CUMPLE")</f>
        <v>NO CUMPLE</v>
      </c>
    </row>
    <row r="15" spans="2:10" ht="31.5" customHeight="1" thickBot="1">
      <c r="B15" s="229"/>
      <c r="C15" s="9" t="s">
        <v>15</v>
      </c>
      <c r="D15" s="15">
        <f>+D13</f>
        <v>83611</v>
      </c>
      <c r="E15" s="230"/>
      <c r="F15" s="232"/>
      <c r="G15" s="15">
        <f>+G13</f>
        <v>2166818</v>
      </c>
      <c r="H15" s="79">
        <f>+H13</f>
        <v>95333.329</v>
      </c>
      <c r="I15" s="230"/>
      <c r="J15" s="234"/>
    </row>
    <row r="16" spans="1:10" ht="31.5" customHeight="1">
      <c r="A16" s="27">
        <v>1.5</v>
      </c>
      <c r="B16" s="228" t="s">
        <v>41</v>
      </c>
      <c r="C16" s="88" t="s">
        <v>42</v>
      </c>
      <c r="D16" s="15">
        <f>+D24/1000</f>
        <v>140000</v>
      </c>
      <c r="E16" s="230">
        <f>+IF(D16="","",D16/D17)</f>
        <v>1.7630465444287728</v>
      </c>
      <c r="F16" s="232" t="str">
        <f>+IF(E16&lt;=1.5,"CUMPLE","NO CUMPLE")</f>
        <v>NO CUMPLE</v>
      </c>
      <c r="G16" s="15">
        <f>+H24/1000</f>
        <v>140000</v>
      </c>
      <c r="H16" s="79">
        <f>+H24/1000</f>
        <v>140000</v>
      </c>
      <c r="I16" s="230">
        <f>+IF(G16="","",(((G16*G8)+(H16*H8))/((G17*G8)+(H17*H8))))</f>
        <v>0.19152028569678559</v>
      </c>
      <c r="J16" s="234" t="str">
        <f>+IF(I16&lt;=$A16,"CUMPLE","NO CUMPLE")</f>
        <v>CUMPLE</v>
      </c>
    </row>
    <row r="17" spans="2:10" ht="31.5" customHeight="1" thickBot="1">
      <c r="B17" s="229"/>
      <c r="C17" s="89" t="s">
        <v>43</v>
      </c>
      <c r="D17" s="65">
        <f>+D11-D10</f>
        <v>79408</v>
      </c>
      <c r="E17" s="231"/>
      <c r="F17" s="233"/>
      <c r="G17" s="65">
        <f>+G11-G10</f>
        <v>828300.3450000002</v>
      </c>
      <c r="H17" s="86">
        <f>+H11-H10</f>
        <v>341763.928</v>
      </c>
      <c r="I17" s="231"/>
      <c r="J17" s="235"/>
    </row>
    <row r="18" spans="2:10" ht="27" customHeight="1" thickBot="1">
      <c r="B18" s="35" t="s">
        <v>4</v>
      </c>
      <c r="C18" s="35"/>
      <c r="D18" s="223" t="str">
        <f>IF(F31=TRUE,"CUMPLE","NO CUMPLE")</f>
        <v>NO CUMPLE</v>
      </c>
      <c r="E18" s="224"/>
      <c r="F18" s="225"/>
      <c r="G18" s="220" t="str">
        <f>IF(J31=TRUE,"CUMPLE","NO CUMPLE")</f>
        <v>NO CUMPLE</v>
      </c>
      <c r="H18" s="221"/>
      <c r="I18" s="221"/>
      <c r="J18" s="222"/>
    </row>
    <row r="20" spans="2:10" ht="15">
      <c r="B20" s="124" t="s">
        <v>143</v>
      </c>
      <c r="C20" s="47"/>
      <c r="D20" s="41"/>
      <c r="E20" s="42"/>
      <c r="F20" s="105"/>
      <c r="G20" s="42"/>
      <c r="H20" s="42"/>
      <c r="I20" s="42"/>
      <c r="J20" s="42"/>
    </row>
    <row r="21" spans="2:10" ht="16.5">
      <c r="B21" s="46"/>
      <c r="C21" s="47"/>
      <c r="D21" s="41"/>
      <c r="E21" s="42"/>
      <c r="F21" s="42"/>
      <c r="G21" s="42"/>
      <c r="H21" s="42"/>
      <c r="I21" s="42"/>
      <c r="J21" s="42"/>
    </row>
    <row r="22" spans="2:10" ht="15" hidden="1">
      <c r="B22" s="51" t="s">
        <v>35</v>
      </c>
      <c r="C22" s="52">
        <v>140000000</v>
      </c>
      <c r="D22" s="41"/>
      <c r="E22" s="42"/>
      <c r="F22" s="42"/>
      <c r="G22" s="42"/>
      <c r="H22" s="42"/>
      <c r="I22" s="42"/>
      <c r="J22" s="42"/>
    </row>
    <row r="23" spans="2:10" ht="16.5" hidden="1">
      <c r="B23" s="46"/>
      <c r="C23" s="47"/>
      <c r="D23" s="41"/>
      <c r="E23" s="42"/>
      <c r="F23" s="42"/>
      <c r="G23" s="42"/>
      <c r="H23" s="42"/>
      <c r="I23" s="42"/>
      <c r="J23" s="42"/>
    </row>
    <row r="24" spans="2:10" ht="12.75" hidden="1">
      <c r="B24" s="51" t="s">
        <v>38</v>
      </c>
      <c r="D24" s="82">
        <f>+C22</f>
        <v>140000000</v>
      </c>
      <c r="E24" s="43"/>
      <c r="F24" s="43"/>
      <c r="G24" s="43"/>
      <c r="H24" s="82">
        <f>+C22</f>
        <v>140000000</v>
      </c>
      <c r="I24" s="43"/>
      <c r="J24" s="43"/>
    </row>
    <row r="25" spans="2:10" ht="12.75" hidden="1">
      <c r="B25" s="40"/>
      <c r="C25" s="40"/>
      <c r="D25" s="40"/>
      <c r="E25" s="42"/>
      <c r="F25" s="42"/>
      <c r="G25" s="42"/>
      <c r="H25" s="40"/>
      <c r="I25" s="42"/>
      <c r="J25" s="42"/>
    </row>
    <row r="26" spans="2:10" ht="12.75" hidden="1">
      <c r="B26" s="40"/>
      <c r="C26" s="40"/>
      <c r="D26" s="43">
        <f>+D24</f>
        <v>140000000</v>
      </c>
      <c r="E26" s="42"/>
      <c r="F26" s="44"/>
      <c r="G26" s="43"/>
      <c r="H26" s="43">
        <f>+H24</f>
        <v>140000000</v>
      </c>
      <c r="I26" s="43"/>
      <c r="J26" s="43"/>
    </row>
    <row r="27" spans="2:10" ht="12.75" hidden="1">
      <c r="B27" s="45">
        <f>+A12</f>
        <v>0.3</v>
      </c>
      <c r="C27" s="40"/>
      <c r="D27" s="44">
        <f>+D26*$B$27</f>
        <v>42000000</v>
      </c>
      <c r="E27" s="42"/>
      <c r="F27" s="44"/>
      <c r="G27" s="44"/>
      <c r="H27" s="44">
        <f>+H26*$B$27</f>
        <v>42000000</v>
      </c>
      <c r="I27" s="44"/>
      <c r="J27" s="44"/>
    </row>
    <row r="28" spans="2:10" ht="18" customHeight="1" hidden="1">
      <c r="B28" s="39" t="s">
        <v>16</v>
      </c>
      <c r="C28" s="40"/>
      <c r="D28" s="44">
        <f>+D27/1000</f>
        <v>42000</v>
      </c>
      <c r="E28" s="42"/>
      <c r="F28" s="40"/>
      <c r="G28" s="40"/>
      <c r="H28" s="44">
        <f>+H27/1000</f>
        <v>42000</v>
      </c>
      <c r="I28" s="40"/>
      <c r="J28" s="40"/>
    </row>
    <row r="29" spans="2:10" ht="12.75" hidden="1">
      <c r="B29" s="40"/>
      <c r="C29" s="40"/>
      <c r="D29" s="40"/>
      <c r="E29" s="42"/>
      <c r="F29" s="42"/>
      <c r="G29" s="42"/>
      <c r="H29" s="42"/>
      <c r="I29" s="42"/>
      <c r="J29" s="42"/>
    </row>
    <row r="30" spans="2:10" ht="12.75" hidden="1">
      <c r="B30" s="40"/>
      <c r="C30" s="40"/>
      <c r="D30" s="40"/>
      <c r="E30" s="42"/>
      <c r="F30" s="42"/>
      <c r="G30" s="42"/>
      <c r="H30" s="42"/>
      <c r="I30" s="42"/>
      <c r="J30" s="42"/>
    </row>
    <row r="31" spans="2:10" ht="12.75" customHeight="1" hidden="1">
      <c r="B31" s="40"/>
      <c r="C31" s="40"/>
      <c r="D31" s="40"/>
      <c r="E31" s="42"/>
      <c r="F31" s="42" t="b">
        <f>AND(F10="CUMPLE",F12="CUMPLE",F14="CUMPLE",F16="CUMPLE")</f>
        <v>0</v>
      </c>
      <c r="G31" s="42"/>
      <c r="H31" s="42"/>
      <c r="I31" s="42"/>
      <c r="J31" s="42" t="b">
        <f>AND(J10="CUMPLE",J12="CUMPLE",J14="CUMPLE",J16="CUMPLE")</f>
        <v>0</v>
      </c>
    </row>
    <row r="32" spans="2:10" ht="12.75" customHeight="1" hidden="1">
      <c r="B32" s="40"/>
      <c r="C32" s="40"/>
      <c r="D32" s="40"/>
      <c r="E32" s="42"/>
      <c r="F32" s="42">
        <f>IF(F31=TRUE,1,0)</f>
        <v>0</v>
      </c>
      <c r="G32" s="42"/>
      <c r="H32" s="42"/>
      <c r="I32" s="42"/>
      <c r="J32" s="42">
        <f>IF(J31=TRUE,1,0)</f>
        <v>0</v>
      </c>
    </row>
    <row r="33" spans="2:10" ht="12.75" customHeight="1" hidden="1">
      <c r="B33" s="40"/>
      <c r="C33" s="40"/>
      <c r="D33" s="40"/>
      <c r="E33" s="42"/>
      <c r="F33" s="42"/>
      <c r="G33" s="42"/>
      <c r="H33" s="42"/>
      <c r="I33" s="42"/>
      <c r="J33" s="42"/>
    </row>
    <row r="34" spans="2:10" ht="12.75" hidden="1">
      <c r="B34" s="40"/>
      <c r="C34" s="40"/>
      <c r="D34" s="40"/>
      <c r="E34" s="42"/>
      <c r="F34" s="42"/>
      <c r="G34" s="42"/>
      <c r="H34" s="42"/>
      <c r="I34" s="42"/>
      <c r="J34" s="42"/>
    </row>
    <row r="35" spans="2:10" ht="12.75" hidden="1">
      <c r="B35" s="40"/>
      <c r="C35" s="40"/>
      <c r="D35" s="40"/>
      <c r="E35" s="42"/>
      <c r="F35" s="42"/>
      <c r="G35" s="42"/>
      <c r="H35" s="42"/>
      <c r="I35" s="42"/>
      <c r="J35" s="42"/>
    </row>
    <row r="36" ht="12.75" hidden="1"/>
    <row r="37" ht="12.75" hidden="1"/>
    <row r="38" ht="12.75" hidden="1"/>
    <row r="39" spans="2:14" ht="15.75" hidden="1">
      <c r="B39" s="51" t="s">
        <v>39</v>
      </c>
      <c r="C39" s="18"/>
      <c r="D39" s="83">
        <f>+E12/40*100</f>
        <v>174925</v>
      </c>
      <c r="E39" s="84"/>
      <c r="F39" s="84"/>
      <c r="G39" s="84"/>
      <c r="H39" s="83">
        <f>+I12/40*100-1</f>
        <v>1095219.194999999</v>
      </c>
      <c r="I39" s="84"/>
      <c r="J39" s="84"/>
      <c r="K39" s="66"/>
      <c r="L39" s="67"/>
      <c r="M39" s="67"/>
      <c r="N39" s="66"/>
    </row>
    <row r="40" ht="12.75" hidden="1"/>
    <row r="41" ht="12.75" hidden="1"/>
    <row r="42" ht="12.75" hidden="1"/>
    <row r="43" ht="12.75" hidden="1"/>
    <row r="44" ht="12.75" hidden="1"/>
  </sheetData>
  <sheetProtection password="CED1" sheet="1"/>
  <mergeCells count="33">
    <mergeCell ref="I12:I13"/>
    <mergeCell ref="J12:J13"/>
    <mergeCell ref="I14:I15"/>
    <mergeCell ref="B12:B13"/>
    <mergeCell ref="E10:E11"/>
    <mergeCell ref="B14:B15"/>
    <mergeCell ref="B4:C4"/>
    <mergeCell ref="E14:E15"/>
    <mergeCell ref="E12:E13"/>
    <mergeCell ref="B1:C1"/>
    <mergeCell ref="B2:C2"/>
    <mergeCell ref="F10:F11"/>
    <mergeCell ref="E2:J2"/>
    <mergeCell ref="D5:F7"/>
    <mergeCell ref="D8:F8"/>
    <mergeCell ref="B5:C7"/>
    <mergeCell ref="B8:C8"/>
    <mergeCell ref="B10:B11"/>
    <mergeCell ref="G4:J4"/>
    <mergeCell ref="J16:J17"/>
    <mergeCell ref="G18:J18"/>
    <mergeCell ref="J14:J15"/>
    <mergeCell ref="D4:F4"/>
    <mergeCell ref="D18:F18"/>
    <mergeCell ref="F12:F13"/>
    <mergeCell ref="F14:F15"/>
    <mergeCell ref="G5:J5"/>
    <mergeCell ref="I10:I11"/>
    <mergeCell ref="J10:J11"/>
    <mergeCell ref="B16:B17"/>
    <mergeCell ref="E16:E17"/>
    <mergeCell ref="F16:F17"/>
    <mergeCell ref="I16:I17"/>
  </mergeCells>
  <conditionalFormatting sqref="D18:J18">
    <cfRule type="cellIs" priority="1" dxfId="111" operator="equal" stopIfTrue="1">
      <formula>"NO CUMPLE"</formula>
    </cfRule>
  </conditionalFormatting>
  <printOptions horizontalCentered="1" verticalCentered="1"/>
  <pageMargins left="0.7480314960629921" right="0.4724409448818898" top="0.9448818897637796" bottom="0.5511811023622047" header="0" footer="0"/>
  <pageSetup fitToHeight="1" fitToWidth="1" horizontalDpi="1200" verticalDpi="1200" orientation="landscape" scale="72" r:id="rId1"/>
  <headerFooter alignWithMargins="0">
    <oddFooter>&amp;CEvaluación Invitación Dirécta 021 de 2008&amp;RHoja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22"/>
  <sheetViews>
    <sheetView workbookViewId="0" topLeftCell="A13">
      <selection activeCell="D11" sqref="D11:D12"/>
    </sheetView>
  </sheetViews>
  <sheetFormatPr defaultColWidth="11.421875" defaultRowHeight="12.75"/>
  <cols>
    <col min="1" max="1" width="8.8515625" style="0" customWidth="1"/>
    <col min="2" max="2" width="20.140625" style="0" customWidth="1"/>
    <col min="3" max="3" width="25.421875" style="0" customWidth="1"/>
    <col min="4" max="4" width="18.7109375" style="0" customWidth="1"/>
    <col min="6" max="6" width="12.57421875" style="0" customWidth="1"/>
    <col min="7" max="7" width="14.421875" style="0" customWidth="1"/>
    <col min="8" max="8" width="12.140625" style="0" customWidth="1"/>
    <col min="9" max="9" width="18.00390625" style="0" customWidth="1"/>
    <col min="10" max="10" width="16.421875" style="0" customWidth="1"/>
    <col min="11" max="11" width="15.00390625" style="0" customWidth="1"/>
    <col min="12" max="12" width="22.00390625" style="0" customWidth="1"/>
    <col min="14" max="14" width="20.57421875" style="0" customWidth="1"/>
  </cols>
  <sheetData>
    <row r="2" spans="1:12" ht="15.75">
      <c r="A2" s="281" t="s">
        <v>65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</row>
    <row r="3" spans="1:12" ht="12.75">
      <c r="A3" s="192" t="s">
        <v>66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</row>
    <row r="6" spans="1:12" ht="12.75">
      <c r="A6" s="282" t="s">
        <v>67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</row>
    <row r="7" spans="1:12" ht="29.25" customHeight="1" thickBot="1">
      <c r="A7" s="283" t="s">
        <v>68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</row>
    <row r="8" spans="1:12" ht="13.5" thickBot="1">
      <c r="A8" s="280" t="s">
        <v>69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</row>
    <row r="9" spans="1:12" ht="18.75" customHeight="1" thickBot="1">
      <c r="A9" s="280" t="s">
        <v>70</v>
      </c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</row>
    <row r="11" spans="2:12" ht="38.25" customHeight="1">
      <c r="B11" s="279" t="s">
        <v>3</v>
      </c>
      <c r="C11" s="276" t="s">
        <v>71</v>
      </c>
      <c r="D11" s="276" t="s">
        <v>72</v>
      </c>
      <c r="E11" s="274" t="s">
        <v>73</v>
      </c>
      <c r="F11" s="274" t="s">
        <v>74</v>
      </c>
      <c r="G11" s="274" t="s">
        <v>75</v>
      </c>
      <c r="H11" s="274" t="s">
        <v>76</v>
      </c>
      <c r="I11" s="274" t="s">
        <v>77</v>
      </c>
      <c r="J11" s="274" t="s">
        <v>78</v>
      </c>
      <c r="K11" s="274" t="s">
        <v>79</v>
      </c>
      <c r="L11" s="276" t="s">
        <v>80</v>
      </c>
    </row>
    <row r="12" spans="2:12" ht="12.75">
      <c r="B12" s="279"/>
      <c r="C12" s="276"/>
      <c r="D12" s="276"/>
      <c r="E12" s="275"/>
      <c r="F12" s="275"/>
      <c r="G12" s="275"/>
      <c r="H12" s="275"/>
      <c r="I12" s="275"/>
      <c r="J12" s="275"/>
      <c r="K12" s="275"/>
      <c r="L12" s="276"/>
    </row>
    <row r="13" spans="1:12" ht="32.25" customHeight="1">
      <c r="A13" s="277">
        <v>1</v>
      </c>
      <c r="B13" s="274" t="s">
        <v>81</v>
      </c>
      <c r="C13" s="279" t="s">
        <v>82</v>
      </c>
      <c r="D13" s="279"/>
      <c r="E13" s="279"/>
      <c r="F13" s="279"/>
      <c r="G13" s="279"/>
      <c r="H13" s="279"/>
      <c r="I13" s="279"/>
      <c r="J13" s="279"/>
      <c r="K13" s="279"/>
      <c r="L13" s="279"/>
    </row>
    <row r="14" spans="1:12" ht="68.25" customHeight="1">
      <c r="A14" s="277"/>
      <c r="B14" s="278"/>
      <c r="C14" s="107" t="s">
        <v>83</v>
      </c>
      <c r="D14" s="108">
        <v>985661177</v>
      </c>
      <c r="E14" s="57" t="s">
        <v>84</v>
      </c>
      <c r="F14" s="265" t="s">
        <v>1</v>
      </c>
      <c r="G14" s="265" t="s">
        <v>1</v>
      </c>
      <c r="H14" s="265" t="s">
        <v>1</v>
      </c>
      <c r="I14" s="265" t="s">
        <v>1</v>
      </c>
      <c r="J14" s="265" t="s">
        <v>1</v>
      </c>
      <c r="K14" s="265" t="s">
        <v>1</v>
      </c>
      <c r="L14" s="268" t="s">
        <v>90</v>
      </c>
    </row>
    <row r="15" spans="1:12" ht="126" customHeight="1">
      <c r="A15" s="277"/>
      <c r="B15" s="278"/>
      <c r="C15" s="107" t="s">
        <v>85</v>
      </c>
      <c r="D15" s="108">
        <f>448664564/2</f>
        <v>224332282</v>
      </c>
      <c r="E15" s="57" t="s">
        <v>86</v>
      </c>
      <c r="F15" s="266"/>
      <c r="G15" s="266"/>
      <c r="H15" s="266"/>
      <c r="I15" s="266"/>
      <c r="J15" s="266"/>
      <c r="K15" s="266"/>
      <c r="L15" s="269"/>
    </row>
    <row r="16" spans="1:12" ht="130.5" customHeight="1">
      <c r="A16" s="277"/>
      <c r="B16" s="275"/>
      <c r="C16" s="107" t="s">
        <v>87</v>
      </c>
      <c r="D16" s="108">
        <v>450525400</v>
      </c>
      <c r="E16" s="57" t="s">
        <v>84</v>
      </c>
      <c r="F16" s="266"/>
      <c r="G16" s="266"/>
      <c r="H16" s="266"/>
      <c r="I16" s="266"/>
      <c r="J16" s="266"/>
      <c r="K16" s="266"/>
      <c r="L16" s="269"/>
    </row>
    <row r="17" spans="1:12" ht="42.75" customHeight="1">
      <c r="A17" s="109"/>
      <c r="B17" s="106"/>
      <c r="C17" s="107" t="s">
        <v>88</v>
      </c>
      <c r="D17" s="110">
        <f>SUM(D14:D16)</f>
        <v>1660518859</v>
      </c>
      <c r="E17" s="57"/>
      <c r="F17" s="267"/>
      <c r="G17" s="267"/>
      <c r="H17" s="267"/>
      <c r="I17" s="267"/>
      <c r="J17" s="267"/>
      <c r="K17" s="267"/>
      <c r="L17" s="270"/>
    </row>
    <row r="19" ht="12.75">
      <c r="B19" t="s">
        <v>89</v>
      </c>
    </row>
    <row r="20" ht="49.5" customHeight="1"/>
    <row r="21" spans="2:12" ht="27.75" customHeight="1">
      <c r="B21" s="271" t="s">
        <v>91</v>
      </c>
      <c r="C21" s="272"/>
      <c r="D21" s="272"/>
      <c r="E21" s="272"/>
      <c r="F21" s="272"/>
      <c r="G21" s="272"/>
      <c r="H21" s="272"/>
      <c r="I21" s="272"/>
      <c r="J21" s="272"/>
      <c r="K21" s="272"/>
      <c r="L21" s="273"/>
    </row>
    <row r="22" ht="12.75">
      <c r="A22" s="124" t="s">
        <v>143</v>
      </c>
    </row>
  </sheetData>
  <sheetProtection password="CED1" sheet="1" objects="1" scenarios="1"/>
  <mergeCells count="28">
    <mergeCell ref="A2:L2"/>
    <mergeCell ref="A3:L3"/>
    <mergeCell ref="A6:L6"/>
    <mergeCell ref="A7:L7"/>
    <mergeCell ref="A8:L8"/>
    <mergeCell ref="A9:L9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A13:A16"/>
    <mergeCell ref="B13:B16"/>
    <mergeCell ref="C13:L13"/>
    <mergeCell ref="F14:F17"/>
    <mergeCell ref="G14:G17"/>
    <mergeCell ref="H14:H17"/>
    <mergeCell ref="I14:I17"/>
    <mergeCell ref="J14:J17"/>
    <mergeCell ref="K14:K17"/>
    <mergeCell ref="L14:L17"/>
    <mergeCell ref="B21:L21"/>
  </mergeCells>
  <printOptions/>
  <pageMargins left="0.75" right="0.75" top="1" bottom="1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49"/>
  <sheetViews>
    <sheetView zoomScalePageLayoutView="0" workbookViewId="0" topLeftCell="A21">
      <selection activeCell="B41" sqref="B41"/>
    </sheetView>
  </sheetViews>
  <sheetFormatPr defaultColWidth="11.421875" defaultRowHeight="12.75"/>
  <cols>
    <col min="1" max="1" width="22.7109375" style="0" customWidth="1"/>
    <col min="8" max="8" width="12.7109375" style="0" customWidth="1"/>
    <col min="9" max="9" width="12.421875" style="0" customWidth="1"/>
  </cols>
  <sheetData>
    <row r="2" spans="1:3" ht="12.75">
      <c r="A2" s="287" t="s">
        <v>33</v>
      </c>
      <c r="B2" s="288"/>
      <c r="C2" s="288"/>
    </row>
    <row r="3" spans="11:16" ht="12.75" customHeight="1">
      <c r="K3" s="285" t="e">
        <f>+'EVALUACIÓN FINANCIERA'!#REF!</f>
        <v>#REF!</v>
      </c>
      <c r="L3" s="286"/>
      <c r="M3" s="286"/>
      <c r="N3" s="286"/>
      <c r="O3" s="286"/>
      <c r="P3" s="286"/>
    </row>
    <row r="4" spans="1:16" s="12" customFormat="1" ht="30" customHeight="1">
      <c r="A4" s="23" t="s">
        <v>29</v>
      </c>
      <c r="B4" s="284" t="str">
        <f>+'EVALUACIÓN FINANCIERA'!D5</f>
        <v>VDV TELCOM LTDA.</v>
      </c>
      <c r="C4" s="284"/>
      <c r="D4" s="284"/>
      <c r="E4" s="284" t="e">
        <f>+'EVALUACIÓN FINANCIERA'!#REF!</f>
        <v>#REF!</v>
      </c>
      <c r="F4" s="284"/>
      <c r="G4" s="284"/>
      <c r="H4" s="284" t="e">
        <f>+'EVALUACIÓN FINANCIERA'!#REF!</f>
        <v>#REF!</v>
      </c>
      <c r="I4" s="284"/>
      <c r="J4" s="284"/>
      <c r="K4" s="284"/>
      <c r="L4" s="284"/>
      <c r="M4" s="284"/>
      <c r="N4" s="284" t="e">
        <f>+'EVALUACIÓN FINANCIERA'!#REF!</f>
        <v>#REF!</v>
      </c>
      <c r="O4" s="284"/>
      <c r="P4" s="284"/>
    </row>
    <row r="5" spans="2:16" s="1" customFormat="1" ht="12.75">
      <c r="B5" s="13" t="s">
        <v>18</v>
      </c>
      <c r="C5" s="13" t="s">
        <v>19</v>
      </c>
      <c r="D5" s="13" t="s">
        <v>20</v>
      </c>
      <c r="E5" s="13" t="s">
        <v>18</v>
      </c>
      <c r="F5" s="13" t="s">
        <v>19</v>
      </c>
      <c r="G5" s="13" t="s">
        <v>20</v>
      </c>
      <c r="H5" s="13" t="s">
        <v>18</v>
      </c>
      <c r="I5" s="13" t="s">
        <v>19</v>
      </c>
      <c r="J5" s="13" t="s">
        <v>20</v>
      </c>
      <c r="K5" s="13" t="s">
        <v>18</v>
      </c>
      <c r="L5" s="13" t="s">
        <v>19</v>
      </c>
      <c r="M5" s="13" t="s">
        <v>20</v>
      </c>
      <c r="N5" s="13" t="s">
        <v>18</v>
      </c>
      <c r="O5" s="13" t="s">
        <v>19</v>
      </c>
      <c r="P5" s="13" t="s">
        <v>20</v>
      </c>
    </row>
    <row r="6" ht="12.75">
      <c r="B6" s="16"/>
    </row>
    <row r="7" spans="1:16" ht="12.75">
      <c r="A7" s="14" t="s">
        <v>22</v>
      </c>
      <c r="B7" s="19"/>
      <c r="C7" s="19"/>
      <c r="D7" s="19">
        <f>+B7-C7</f>
        <v>0</v>
      </c>
      <c r="E7" s="19"/>
      <c r="F7" s="19"/>
      <c r="G7" s="19">
        <f>+E7-F7</f>
        <v>0</v>
      </c>
      <c r="H7" s="19"/>
      <c r="I7" s="19"/>
      <c r="J7" s="19">
        <f>+H7-I7</f>
        <v>0</v>
      </c>
      <c r="K7" s="19"/>
      <c r="L7" s="19"/>
      <c r="M7" s="19">
        <f>+K7-L7</f>
        <v>0</v>
      </c>
      <c r="N7" s="19"/>
      <c r="O7" s="19"/>
      <c r="P7" s="19">
        <f>+N7-O7</f>
        <v>0</v>
      </c>
    </row>
    <row r="8" spans="2:16" ht="12.75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1:16" ht="12.75">
      <c r="A9" s="14" t="s">
        <v>21</v>
      </c>
      <c r="B9" s="19"/>
      <c r="C9" s="19"/>
      <c r="D9" s="19">
        <f>+B9-C9</f>
        <v>0</v>
      </c>
      <c r="E9" s="19"/>
      <c r="F9" s="19"/>
      <c r="G9" s="19">
        <f>+E9-F9</f>
        <v>0</v>
      </c>
      <c r="H9" s="19"/>
      <c r="I9" s="19"/>
      <c r="J9" s="19">
        <f>+H9-I9</f>
        <v>0</v>
      </c>
      <c r="K9" s="19"/>
      <c r="L9" s="19"/>
      <c r="M9" s="19">
        <f>+K9-L9</f>
        <v>0</v>
      </c>
      <c r="N9" s="19"/>
      <c r="O9" s="19"/>
      <c r="P9" s="19">
        <f>+N9-O9</f>
        <v>0</v>
      </c>
    </row>
    <row r="10" spans="2:16" ht="12.75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1:16" ht="12.75">
      <c r="A11" s="14" t="s">
        <v>23</v>
      </c>
      <c r="B11" s="20">
        <f aca="true" t="shared" si="0" ref="B11:J11">+B7-B9</f>
        <v>0</v>
      </c>
      <c r="C11" s="20">
        <f t="shared" si="0"/>
        <v>0</v>
      </c>
      <c r="D11" s="20">
        <f t="shared" si="0"/>
        <v>0</v>
      </c>
      <c r="E11" s="20">
        <f t="shared" si="0"/>
        <v>0</v>
      </c>
      <c r="F11" s="20">
        <f t="shared" si="0"/>
        <v>0</v>
      </c>
      <c r="G11" s="20">
        <f t="shared" si="0"/>
        <v>0</v>
      </c>
      <c r="H11" s="20">
        <f t="shared" si="0"/>
        <v>0</v>
      </c>
      <c r="I11" s="20">
        <f t="shared" si="0"/>
        <v>0</v>
      </c>
      <c r="J11" s="20">
        <f t="shared" si="0"/>
        <v>0</v>
      </c>
      <c r="K11" s="20">
        <f aca="true" t="shared" si="1" ref="K11:P11">+K7-K9</f>
        <v>0</v>
      </c>
      <c r="L11" s="20">
        <f t="shared" si="1"/>
        <v>0</v>
      </c>
      <c r="M11" s="20">
        <f t="shared" si="1"/>
        <v>0</v>
      </c>
      <c r="N11" s="20">
        <f t="shared" si="1"/>
        <v>0</v>
      </c>
      <c r="O11" s="20">
        <f t="shared" si="1"/>
        <v>0</v>
      </c>
      <c r="P11" s="20">
        <f t="shared" si="1"/>
        <v>0</v>
      </c>
    </row>
    <row r="12" spans="2:16" ht="12.75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ht="12.75">
      <c r="A13" s="14" t="s">
        <v>24</v>
      </c>
      <c r="B13" s="19"/>
      <c r="C13" s="19"/>
      <c r="D13" s="19">
        <f>+B13-C13</f>
        <v>0</v>
      </c>
      <c r="E13" s="19"/>
      <c r="F13" s="19"/>
      <c r="G13" s="19">
        <f>+E13-F13</f>
        <v>0</v>
      </c>
      <c r="H13" s="19"/>
      <c r="I13" s="19"/>
      <c r="J13" s="19">
        <f>+H13-I13</f>
        <v>0</v>
      </c>
      <c r="K13" s="19"/>
      <c r="L13" s="19"/>
      <c r="M13" s="19">
        <f>+K13-L13</f>
        <v>0</v>
      </c>
      <c r="N13" s="19"/>
      <c r="O13" s="19"/>
      <c r="P13" s="19">
        <f>+N13-O13</f>
        <v>0</v>
      </c>
    </row>
    <row r="14" spans="2:16" ht="12.75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1:16" ht="12.75">
      <c r="A15" s="14" t="s">
        <v>25</v>
      </c>
      <c r="B15" s="19"/>
      <c r="C15" s="19"/>
      <c r="D15" s="19">
        <f>+B15-C15</f>
        <v>0</v>
      </c>
      <c r="E15" s="19"/>
      <c r="F15" s="19"/>
      <c r="G15" s="19">
        <f>+E15-F15</f>
        <v>0</v>
      </c>
      <c r="H15" s="19"/>
      <c r="I15" s="19"/>
      <c r="J15" s="19">
        <f>+H15-I15</f>
        <v>0</v>
      </c>
      <c r="K15" s="19"/>
      <c r="L15" s="19"/>
      <c r="M15" s="19">
        <f>+K15-L15</f>
        <v>0</v>
      </c>
      <c r="N15" s="19"/>
      <c r="O15" s="19"/>
      <c r="P15" s="19">
        <f>+N15-O15</f>
        <v>0</v>
      </c>
    </row>
    <row r="16" spans="2:16" ht="12.75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1:16" ht="12.75">
      <c r="A17" s="14" t="s">
        <v>26</v>
      </c>
      <c r="B17" s="19"/>
      <c r="C17" s="19"/>
      <c r="D17" s="19">
        <f>+B17-C17</f>
        <v>0</v>
      </c>
      <c r="E17" s="19"/>
      <c r="F17" s="19"/>
      <c r="G17" s="19">
        <f>+E17-F17</f>
        <v>0</v>
      </c>
      <c r="H17" s="19"/>
      <c r="I17" s="19"/>
      <c r="J17" s="19">
        <f>+H17-I17</f>
        <v>0</v>
      </c>
      <c r="K17" s="19"/>
      <c r="L17" s="19"/>
      <c r="M17" s="19">
        <f>+K17-L17</f>
        <v>0</v>
      </c>
      <c r="N17" s="19"/>
      <c r="O17" s="19"/>
      <c r="P17" s="19">
        <f>+N17-O17</f>
        <v>0</v>
      </c>
    </row>
    <row r="18" spans="2:16" ht="12.75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6" ht="12.75">
      <c r="A19" s="14" t="s">
        <v>31</v>
      </c>
      <c r="B19" s="19"/>
      <c r="C19" s="19"/>
      <c r="D19" s="19">
        <f>+B19-C19</f>
        <v>0</v>
      </c>
      <c r="E19" s="19"/>
      <c r="F19" s="19"/>
      <c r="G19" s="19">
        <f>+E19-F19</f>
        <v>0</v>
      </c>
      <c r="H19" s="19"/>
      <c r="I19" s="19"/>
      <c r="J19" s="19">
        <f>+H19-I19</f>
        <v>0</v>
      </c>
      <c r="K19" s="19"/>
      <c r="L19" s="19"/>
      <c r="M19" s="19">
        <f>+K19-L19</f>
        <v>0</v>
      </c>
      <c r="N19" s="19"/>
      <c r="O19" s="19"/>
      <c r="P19" s="19">
        <f>+N19-O19</f>
        <v>0</v>
      </c>
    </row>
    <row r="20" spans="2:16" ht="12.75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ht="12.75">
      <c r="A21" s="14" t="s">
        <v>27</v>
      </c>
      <c r="B21" s="19"/>
      <c r="C21" s="19"/>
      <c r="D21" s="19">
        <f>+B21-C21</f>
        <v>0</v>
      </c>
      <c r="E21" s="19"/>
      <c r="F21" s="19"/>
      <c r="G21" s="19">
        <f>+E21-F21</f>
        <v>0</v>
      </c>
      <c r="H21" s="19"/>
      <c r="I21" s="19"/>
      <c r="J21" s="19">
        <f>+H21-I21</f>
        <v>0</v>
      </c>
      <c r="K21" s="19"/>
      <c r="L21" s="19"/>
      <c r="M21" s="19">
        <f>+K21-L21</f>
        <v>0</v>
      </c>
      <c r="N21" s="19"/>
      <c r="O21" s="19"/>
      <c r="P21" s="19">
        <f>+N21-O21</f>
        <v>0</v>
      </c>
    </row>
    <row r="22" spans="2:16" ht="12.75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ht="12.75">
      <c r="A23" s="14" t="s">
        <v>28</v>
      </c>
      <c r="B23" s="20">
        <f aca="true" t="shared" si="2" ref="B23:J23">+B13-B15-B17-B19-B21</f>
        <v>0</v>
      </c>
      <c r="C23" s="20">
        <f t="shared" si="2"/>
        <v>0</v>
      </c>
      <c r="D23" s="21">
        <f t="shared" si="2"/>
        <v>0</v>
      </c>
      <c r="E23" s="20">
        <f t="shared" si="2"/>
        <v>0</v>
      </c>
      <c r="F23" s="20">
        <f t="shared" si="2"/>
        <v>0</v>
      </c>
      <c r="G23" s="21">
        <f t="shared" si="2"/>
        <v>0</v>
      </c>
      <c r="H23" s="20">
        <f t="shared" si="2"/>
        <v>0</v>
      </c>
      <c r="I23" s="20">
        <f t="shared" si="2"/>
        <v>0</v>
      </c>
      <c r="J23" s="20">
        <f t="shared" si="2"/>
        <v>0</v>
      </c>
      <c r="K23" s="20">
        <f aca="true" t="shared" si="3" ref="K23:P23">+K13-K15-K17-K19-K21</f>
        <v>0</v>
      </c>
      <c r="L23" s="20">
        <f t="shared" si="3"/>
        <v>0</v>
      </c>
      <c r="M23" s="20">
        <f t="shared" si="3"/>
        <v>0</v>
      </c>
      <c r="N23" s="20">
        <f t="shared" si="3"/>
        <v>0</v>
      </c>
      <c r="O23" s="20">
        <f t="shared" si="3"/>
        <v>0</v>
      </c>
      <c r="P23" s="20">
        <f t="shared" si="3"/>
        <v>0</v>
      </c>
    </row>
    <row r="27" spans="1:3" ht="12.75">
      <c r="A27" s="287" t="s">
        <v>33</v>
      </c>
      <c r="B27" s="288"/>
      <c r="C27" s="288"/>
    </row>
    <row r="29" spans="1:13" ht="12.75">
      <c r="A29" s="23" t="s">
        <v>30</v>
      </c>
      <c r="B29" s="284" t="str">
        <f>+B4</f>
        <v>VDV TELCOM LTDA.</v>
      </c>
      <c r="C29" s="284"/>
      <c r="D29" s="284"/>
      <c r="E29" s="284" t="e">
        <f>+E4</f>
        <v>#REF!</v>
      </c>
      <c r="F29" s="284"/>
      <c r="G29" s="284"/>
      <c r="H29" s="284" t="e">
        <f>+H4</f>
        <v>#REF!</v>
      </c>
      <c r="I29" s="284"/>
      <c r="J29" s="284"/>
      <c r="K29" s="284">
        <f>+K4</f>
        <v>0</v>
      </c>
      <c r="L29" s="284"/>
      <c r="M29" s="284"/>
    </row>
    <row r="30" spans="1:13" ht="12.75">
      <c r="A30" s="1"/>
      <c r="B30" s="13" t="s">
        <v>18</v>
      </c>
      <c r="C30" s="13" t="s">
        <v>19</v>
      </c>
      <c r="D30" s="13" t="s">
        <v>20</v>
      </c>
      <c r="E30" s="13" t="s">
        <v>18</v>
      </c>
      <c r="F30" s="13" t="s">
        <v>19</v>
      </c>
      <c r="G30" s="13" t="s">
        <v>20</v>
      </c>
      <c r="H30" s="13" t="s">
        <v>18</v>
      </c>
      <c r="I30" s="13" t="s">
        <v>19</v>
      </c>
      <c r="J30" s="13" t="s">
        <v>20</v>
      </c>
      <c r="K30" s="13" t="s">
        <v>18</v>
      </c>
      <c r="L30" s="13" t="s">
        <v>19</v>
      </c>
      <c r="M30" s="13" t="s">
        <v>20</v>
      </c>
    </row>
    <row r="32" spans="1:13" ht="12.75">
      <c r="A32" s="14" t="s">
        <v>22</v>
      </c>
      <c r="B32" s="19">
        <v>338540</v>
      </c>
      <c r="C32" s="19">
        <v>338540</v>
      </c>
      <c r="D32" s="19">
        <f>+B32-C32</f>
        <v>0</v>
      </c>
      <c r="E32" s="19"/>
      <c r="F32" s="19">
        <v>2236097</v>
      </c>
      <c r="G32" s="19">
        <f>+E32-F32</f>
        <v>-2236097</v>
      </c>
      <c r="H32" s="19">
        <v>3913626</v>
      </c>
      <c r="I32" s="19">
        <v>3439435</v>
      </c>
      <c r="J32" s="19">
        <f>+H32-I32</f>
        <v>474191</v>
      </c>
      <c r="K32" s="19">
        <v>3913626</v>
      </c>
      <c r="L32" s="19">
        <v>3439435</v>
      </c>
      <c r="M32" s="19">
        <f>+K32-L32</f>
        <v>474191</v>
      </c>
    </row>
    <row r="33" spans="2:13" ht="12.7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3" ht="12.75">
      <c r="A34" s="14" t="s">
        <v>21</v>
      </c>
      <c r="B34" s="19">
        <v>177384</v>
      </c>
      <c r="C34" s="19">
        <v>177384</v>
      </c>
      <c r="D34" s="19">
        <f>+B34-C34</f>
        <v>0</v>
      </c>
      <c r="E34" s="19"/>
      <c r="F34" s="19">
        <v>1443897</v>
      </c>
      <c r="G34" s="19">
        <f>+E34-F34</f>
        <v>-1443897</v>
      </c>
      <c r="H34" s="19">
        <v>1966502</v>
      </c>
      <c r="I34" s="19">
        <v>1966503</v>
      </c>
      <c r="J34" s="19">
        <f>+H34-I34</f>
        <v>-1</v>
      </c>
      <c r="K34" s="19">
        <v>1966502</v>
      </c>
      <c r="L34" s="19">
        <v>1966503</v>
      </c>
      <c r="M34" s="19">
        <f>+K34-L34</f>
        <v>-1</v>
      </c>
    </row>
    <row r="35" spans="2:13" ht="12.75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1:13" ht="12.75">
      <c r="A36" s="14" t="s">
        <v>23</v>
      </c>
      <c r="B36" s="20">
        <f aca="true" t="shared" si="4" ref="B36:J36">+B32-B34</f>
        <v>161156</v>
      </c>
      <c r="C36" s="20">
        <f t="shared" si="4"/>
        <v>161156</v>
      </c>
      <c r="D36" s="20">
        <f t="shared" si="4"/>
        <v>0</v>
      </c>
      <c r="E36" s="20">
        <f t="shared" si="4"/>
        <v>0</v>
      </c>
      <c r="F36" s="20">
        <f t="shared" si="4"/>
        <v>792200</v>
      </c>
      <c r="G36" s="20">
        <f t="shared" si="4"/>
        <v>-792200</v>
      </c>
      <c r="H36" s="22">
        <f t="shared" si="4"/>
        <v>1947124</v>
      </c>
      <c r="I36" s="22">
        <f t="shared" si="4"/>
        <v>1472932</v>
      </c>
      <c r="J36" s="22">
        <f t="shared" si="4"/>
        <v>474192</v>
      </c>
      <c r="K36" s="22">
        <f>+K32-K34</f>
        <v>1947124</v>
      </c>
      <c r="L36" s="22">
        <f>+L32-L34</f>
        <v>1472932</v>
      </c>
      <c r="M36" s="22">
        <f>+M32-M34</f>
        <v>474192</v>
      </c>
    </row>
    <row r="37" spans="2:13" ht="12.75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ht="12.75">
      <c r="A38" s="14" t="s">
        <v>24</v>
      </c>
      <c r="B38" s="19">
        <f>3497+174390</f>
        <v>177887</v>
      </c>
      <c r="C38" s="19">
        <v>177887</v>
      </c>
      <c r="D38" s="19">
        <f>+B38-C38</f>
        <v>0</v>
      </c>
      <c r="E38" s="19">
        <v>5286525</v>
      </c>
      <c r="F38" s="19">
        <v>5295374</v>
      </c>
      <c r="G38" s="19">
        <f>+E38-F38</f>
        <v>-8849</v>
      </c>
      <c r="H38" s="19">
        <f>2270798+344789</f>
        <v>2615587</v>
      </c>
      <c r="I38" s="19">
        <f>2270798+344789</f>
        <v>2615587</v>
      </c>
      <c r="J38" s="19">
        <f>+H38-I38</f>
        <v>0</v>
      </c>
      <c r="K38" s="19">
        <f>2270798+344789</f>
        <v>2615587</v>
      </c>
      <c r="L38" s="19">
        <f>2270798+344789</f>
        <v>2615587</v>
      </c>
      <c r="M38" s="19">
        <f>+K38-L38</f>
        <v>0</v>
      </c>
    </row>
    <row r="39" spans="2:13" ht="12.75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3" ht="12.75">
      <c r="A40" s="14" t="s">
        <v>25</v>
      </c>
      <c r="B40" s="19"/>
      <c r="C40" s="19">
        <v>0</v>
      </c>
      <c r="D40" s="19">
        <f>+B40-C40</f>
        <v>0</v>
      </c>
      <c r="E40" s="19">
        <v>3389864</v>
      </c>
      <c r="F40" s="19">
        <v>3389864</v>
      </c>
      <c r="G40" s="19">
        <f>+E40-F40</f>
        <v>0</v>
      </c>
      <c r="H40" s="19"/>
      <c r="I40" s="19">
        <v>0</v>
      </c>
      <c r="J40" s="19">
        <f>+H40-I40</f>
        <v>0</v>
      </c>
      <c r="K40" s="19"/>
      <c r="L40" s="19">
        <v>0</v>
      </c>
      <c r="M40" s="19">
        <f>+K40-L40</f>
        <v>0</v>
      </c>
    </row>
    <row r="41" spans="2:13" ht="12.75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 ht="12.75">
      <c r="A42" s="14" t="s">
        <v>26</v>
      </c>
      <c r="B42" s="19">
        <f>158173+3499</f>
        <v>161672</v>
      </c>
      <c r="C42" s="19">
        <f>152061+3494</f>
        <v>155555</v>
      </c>
      <c r="D42" s="19">
        <f>+B42-C42</f>
        <v>6117</v>
      </c>
      <c r="E42" s="19">
        <v>1818615</v>
      </c>
      <c r="F42" s="19">
        <f>1150575+146851</f>
        <v>1297426</v>
      </c>
      <c r="G42" s="19">
        <f>+E42-F42</f>
        <v>521189</v>
      </c>
      <c r="H42" s="19">
        <f>1533588+58314+282281</f>
        <v>1874183</v>
      </c>
      <c r="I42" s="19">
        <f>1533588+58314+282281</f>
        <v>1874183</v>
      </c>
      <c r="J42" s="19">
        <f>+H42-I42</f>
        <v>0</v>
      </c>
      <c r="K42" s="19">
        <f>1533588+58314+282281</f>
        <v>1874183</v>
      </c>
      <c r="L42" s="19">
        <f>1533588+58314+282281</f>
        <v>1874183</v>
      </c>
      <c r="M42" s="19">
        <f>+K42-L42</f>
        <v>0</v>
      </c>
    </row>
    <row r="43" spans="2:13" ht="12.75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13" ht="12.75">
      <c r="A44" s="14" t="s">
        <v>31</v>
      </c>
      <c r="B44" s="19"/>
      <c r="C44" s="19"/>
      <c r="D44" s="19">
        <f>+B44-C44</f>
        <v>0</v>
      </c>
      <c r="E44" s="19"/>
      <c r="F44" s="19">
        <f>5943+8849</f>
        <v>14792</v>
      </c>
      <c r="G44" s="19">
        <f>+E44-F44</f>
        <v>-14792</v>
      </c>
      <c r="H44" s="19"/>
      <c r="I44" s="19"/>
      <c r="J44" s="19">
        <f>+H44-I44</f>
        <v>0</v>
      </c>
      <c r="K44" s="19"/>
      <c r="L44" s="19"/>
      <c r="M44" s="19">
        <f>+K44-L44</f>
        <v>0</v>
      </c>
    </row>
    <row r="45" spans="2:13" ht="12.75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13" ht="12.75">
      <c r="A46" s="14" t="s">
        <v>27</v>
      </c>
      <c r="B46" s="19">
        <v>15086</v>
      </c>
      <c r="C46" s="19">
        <f>1951+5619</f>
        <v>7570</v>
      </c>
      <c r="D46" s="19">
        <f>+B46-C46</f>
        <v>7516</v>
      </c>
      <c r="E46" s="19"/>
      <c r="F46" s="19">
        <v>202738</v>
      </c>
      <c r="G46" s="19">
        <f>+E46-F46</f>
        <v>-202738</v>
      </c>
      <c r="H46" s="19">
        <f>136270+132488+4747</f>
        <v>273505</v>
      </c>
      <c r="I46" s="19">
        <f>136270+132488+4747</f>
        <v>273505</v>
      </c>
      <c r="J46" s="19">
        <f>+H46-I46</f>
        <v>0</v>
      </c>
      <c r="K46" s="19">
        <f>136270+132488+4747</f>
        <v>273505</v>
      </c>
      <c r="L46" s="19">
        <f>136270+132488+4747</f>
        <v>273505</v>
      </c>
      <c r="M46" s="19">
        <f>+K46-L46</f>
        <v>0</v>
      </c>
    </row>
    <row r="47" spans="2:13" ht="12.75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1:13" ht="12.75">
      <c r="A48" s="14" t="s">
        <v>28</v>
      </c>
      <c r="B48" s="20">
        <f aca="true" t="shared" si="5" ref="B48:J48">+B38-B40-B42-B44-B46</f>
        <v>1129</v>
      </c>
      <c r="C48" s="20">
        <f t="shared" si="5"/>
        <v>14762</v>
      </c>
      <c r="D48" s="21">
        <f t="shared" si="5"/>
        <v>-13633</v>
      </c>
      <c r="E48" s="20">
        <f t="shared" si="5"/>
        <v>78046</v>
      </c>
      <c r="F48" s="20">
        <f t="shared" si="5"/>
        <v>390554</v>
      </c>
      <c r="G48" s="20">
        <f t="shared" si="5"/>
        <v>-312508</v>
      </c>
      <c r="H48" s="20">
        <f t="shared" si="5"/>
        <v>467899</v>
      </c>
      <c r="I48" s="20">
        <f t="shared" si="5"/>
        <v>467899</v>
      </c>
      <c r="J48" s="21">
        <f t="shared" si="5"/>
        <v>0</v>
      </c>
      <c r="K48" s="20">
        <f>+K38-K40-K42-K44-K46</f>
        <v>467899</v>
      </c>
      <c r="L48" s="20">
        <f>+L38-L40-L42-L44-L46</f>
        <v>467899</v>
      </c>
      <c r="M48" s="21">
        <f>+M38-M40-M42-M44-M46</f>
        <v>0</v>
      </c>
    </row>
    <row r="49" ht="12.75">
      <c r="D49" s="17" t="s">
        <v>32</v>
      </c>
    </row>
  </sheetData>
  <sheetProtection/>
  <mergeCells count="12">
    <mergeCell ref="K29:M29"/>
    <mergeCell ref="A2:C2"/>
    <mergeCell ref="A27:C27"/>
    <mergeCell ref="B29:D29"/>
    <mergeCell ref="E29:G29"/>
    <mergeCell ref="H29:J29"/>
    <mergeCell ref="B4:D4"/>
    <mergeCell ref="N4:P4"/>
    <mergeCell ref="K3:P3"/>
    <mergeCell ref="E4:G4"/>
    <mergeCell ref="H4:J4"/>
    <mergeCell ref="K4:M4"/>
  </mergeCell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rafajardom</dc:creator>
  <cp:keywords/>
  <dc:description/>
  <cp:lastModifiedBy>aviceadmin3</cp:lastModifiedBy>
  <cp:lastPrinted>2008-12-05T20:58:21Z</cp:lastPrinted>
  <dcterms:created xsi:type="dcterms:W3CDTF">2008-02-21T13:10:19Z</dcterms:created>
  <dcterms:modified xsi:type="dcterms:W3CDTF">2008-12-09T23:21:49Z</dcterms:modified>
  <cp:category/>
  <cp:version/>
  <cp:contentType/>
  <cp:contentStatus/>
</cp:coreProperties>
</file>