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FINANCIERA'!$D$9:$N$22</definedName>
    <definedName name="_xlnm.Print_Area" localSheetId="0">'VERIFICACION DE LOS D. FINANCIE'!$B$5:$P$13</definedName>
    <definedName name="_xlnm.Print_Titles" localSheetId="1">'EVALUACIÓN FINANCIERA'!$B:$C,'EVALUACIÓN FINANCIERA'!$5:$13</definedName>
    <definedName name="_xlnm.Print_Titles" localSheetId="0">'VERIFICACION DE LOS D. FINANCIE'!$A:$A,'VERIFICACION DE LOS D. FINANCIE'!$1:$4</definedName>
  </definedNames>
  <calcPr fullCalcOnLoad="1"/>
</workbook>
</file>

<file path=xl/sharedStrings.xml><?xml version="1.0" encoding="utf-8"?>
<sst xmlns="http://schemas.openxmlformats.org/spreadsheetml/2006/main" count="154" uniqueCount="75">
  <si>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</si>
  <si>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</si>
  <si>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</si>
  <si>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</si>
  <si>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</si>
  <si>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</si>
  <si>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</si>
  <si>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</si>
  <si>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</si>
  <si>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</si>
  <si>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</si>
  <si>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</si>
  <si>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</si>
  <si>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</si>
  <si>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</si>
  <si>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</si>
  <si>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</si>
  <si>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</si>
  <si>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</si>
  <si>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</si>
  <si>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</si>
  <si>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</si>
  <si>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</si>
  <si>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</si>
  <si>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</si>
  <si>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</si>
  <si>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</si>
  <si>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</si>
  <si>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</si>
  <si>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</si>
  <si>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</si>
  <si>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</si>
  <si>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</si>
  <si>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</si>
  <si>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</si>
  <si>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</si>
  <si>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</si>
  <si>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</si>
  <si>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</si>
  <si>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</si>
  <si>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PATRIMONIO TOTAL</t>
  </si>
  <si>
    <t>RAZON CORRIENTE &gt;= 1.3 (AC/PC)</t>
  </si>
  <si>
    <t>N/A</t>
  </si>
  <si>
    <t>MONTO MAXIMO A OFERTAR</t>
  </si>
  <si>
    <t>EVALUACIÓN FINANCIERA: INVITACION DIRECTA Nº 027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</si>
  <si>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CONTRATAR EL MANTENIMIENTO PREVENTIVO Y CORRECTIVO DE SUBESTACIONES, TABLEROS Y TRANSFORMADORES ELECTRICOS DE LAS SEDES DE LA UNIVERSIDAD</t>
    </r>
  </si>
  <si>
    <t>CONTROLES Y AUTOMATIZACIONES S.A.</t>
  </si>
  <si>
    <t>ENERGY TECHNOLOGIES LTDA.</t>
  </si>
  <si>
    <t>CONSORCIO BEL</t>
  </si>
  <si>
    <t>BRP INGENIEROS E.U.</t>
  </si>
  <si>
    <t>EPC INGENIEROS LTDA.</t>
  </si>
  <si>
    <t>LUIS AURELIO DIAZ Y CIA LTDA</t>
  </si>
  <si>
    <t>FOLIO 31 A FOLIO 39</t>
  </si>
  <si>
    <t>FOLIO 40</t>
  </si>
  <si>
    <t>FOLIO 41</t>
  </si>
  <si>
    <t>FOLIO 43 A FOLIO 46</t>
  </si>
  <si>
    <t>CAPITAL DE TRABAJO &gt;=30% DEL PRESUPUESTO OFICIAL. ((AC-PC)</t>
  </si>
  <si>
    <t>RELACIÓN PATRIMONIAL &lt;=1.5 (PO/ PT)</t>
  </si>
  <si>
    <t>PRESUPUESTO OFICIAL</t>
  </si>
  <si>
    <t>FOLIO 79 A FOLIO 88</t>
  </si>
  <si>
    <t>FOLIO 89 A FOLIO 91 Y FOLIO 95 A FOLIO 96</t>
  </si>
  <si>
    <t>FOLIO 93</t>
  </si>
  <si>
    <t>FOLIO 71 A FOLIO 72</t>
  </si>
  <si>
    <t>FOLIO 73 A FOLIO 76</t>
  </si>
  <si>
    <t>FOLIO 77 A FOLIO 78</t>
  </si>
  <si>
    <t>Notas a los Estados Financieros.
Certificación de Informes Financieros</t>
  </si>
  <si>
    <t>No aplica comparativo, EMPRESA DE 2007
Notas a los Estados Financieros.
Certificación de Informes Financieros</t>
  </si>
  <si>
    <t>FOLIO 80</t>
  </si>
  <si>
    <t>FOLIO 81</t>
  </si>
  <si>
    <t>FOLIO 82</t>
  </si>
  <si>
    <t xml:space="preserve">Conciliación tributaria, por no coincidir los saldos Contables con los Tributarios. </t>
  </si>
  <si>
    <t xml:space="preserve">Conciliación tributaria, en el aspecto patrimonial por no coincidir los saldos de Balance con la Declaración de Renta. </t>
  </si>
  <si>
    <t>FOLIO 85</t>
  </si>
  <si>
    <t>FOLIO 86</t>
  </si>
  <si>
    <r>
      <t xml:space="preserve">  NOTA:</t>
    </r>
    <r>
      <rPr>
        <sz val="11"/>
        <rFont val="Arial"/>
        <family val="2"/>
      </rPr>
      <t xml:space="preserve"> LOS DOCUMENTOS PARA SUBSANAR DEBEN SER ALLEGADOS HASTA LAS 4 P.M. DEL 17 DE DICIEMBRE DE 2008.  </t>
    </r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</si>
</sst>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  <numFmt numFmtId="198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4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3" fontId="14" fillId="0" borderId="19" xfId="62" applyNumberFormat="1" applyBorder="1" applyAlignment="1">
      <alignment vertical="center"/>
      <protection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/>
    </xf>
    <xf numFmtId="197" fontId="33" fillId="26" borderId="19" xfId="48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justify" vertical="center"/>
    </xf>
    <xf numFmtId="0" fontId="12" fillId="0" borderId="28" xfId="0" applyFont="1" applyBorder="1" applyAlignment="1">
      <alignment horizontal="justify" vertical="center"/>
    </xf>
    <xf numFmtId="0" fontId="11" fillId="0" borderId="29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8" fillId="16" borderId="12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8" fillId="25" borderId="0" xfId="0" applyNumberFormat="1" applyFont="1" applyFill="1" applyAlignment="1">
      <alignment horizontal="right" wrapText="1"/>
    </xf>
    <xf numFmtId="0" fontId="31" fillId="0" borderId="19" xfId="61" applyFont="1" applyBorder="1" applyAlignment="1">
      <alignment horizontal="left" vertical="center" wrapText="1"/>
      <protection/>
    </xf>
    <xf numFmtId="198" fontId="0" fillId="0" borderId="0" xfId="71" applyNumberFormat="1" applyFont="1" applyAlignment="1">
      <alignment horizontal="center"/>
    </xf>
    <xf numFmtId="0" fontId="6" fillId="0" borderId="38" xfId="0" applyFont="1" applyBorder="1" applyAlignment="1">
      <alignment horizontal="justify" wrapText="1"/>
    </xf>
    <xf numFmtId="0" fontId="0" fillId="0" borderId="36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4" borderId="0" xfId="0" applyFont="1" applyFill="1" applyAlignment="1">
      <alignment vertical="center" wrapText="1"/>
    </xf>
    <xf numFmtId="4" fontId="6" fillId="4" borderId="31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8" fillId="0" borderId="39" xfId="0" applyFont="1" applyBorder="1" applyAlignment="1">
      <alignment wrapText="1"/>
    </xf>
    <xf numFmtId="0" fontId="0" fillId="0" borderId="4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 wrapText="1"/>
    </xf>
    <xf numFmtId="0" fontId="34" fillId="0" borderId="45" xfId="0" applyFont="1" applyFill="1" applyBorder="1" applyAlignment="1">
      <alignment wrapText="1"/>
    </xf>
    <xf numFmtId="0" fontId="35" fillId="0" borderId="46" xfId="0" applyFont="1" applyFill="1" applyBorder="1" applyAlignment="1">
      <alignment wrapText="1"/>
    </xf>
    <xf numFmtId="0" fontId="35" fillId="0" borderId="47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8" fillId="16" borderId="45" xfId="0" applyFont="1" applyFill="1" applyBorder="1" applyAlignment="1">
      <alignment horizontal="center" vertical="center"/>
    </xf>
    <xf numFmtId="0" fontId="8" fillId="16" borderId="46" xfId="0" applyFont="1" applyFill="1" applyBorder="1" applyAlignment="1">
      <alignment horizontal="center" vertical="center"/>
    </xf>
    <xf numFmtId="0" fontId="8" fillId="16" borderId="4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8" fillId="25" borderId="45" xfId="0" applyFont="1" applyFill="1" applyBorder="1" applyAlignment="1">
      <alignment horizontal="center" vertical="center"/>
    </xf>
    <xf numFmtId="0" fontId="13" fillId="25" borderId="46" xfId="0" applyFont="1" applyFill="1" applyBorder="1" applyAlignment="1">
      <alignment horizontal="center" vertical="center"/>
    </xf>
    <xf numFmtId="0" fontId="13" fillId="25" borderId="47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4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194" fontId="0" fillId="0" borderId="50" xfId="0" applyNumberFormat="1" applyBorder="1" applyAlignment="1">
      <alignment horizontal="center" vertical="center"/>
    </xf>
    <xf numFmtId="194" fontId="0" fillId="0" borderId="5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8" fillId="25" borderId="45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0" fontId="8" fillId="25" borderId="46" xfId="0" applyFont="1" applyFill="1" applyBorder="1" applyAlignment="1">
      <alignment horizontal="center" vertical="center"/>
    </xf>
    <xf numFmtId="0" fontId="8" fillId="25" borderId="4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="85" zoomScaleNormal="85" zoomScalePageLayoutView="0" workbookViewId="0" topLeftCell="A10">
      <pane xSplit="1" topLeftCell="B1" activePane="topRight" state="frozen"/>
      <selection pane="topLeft" activeCell="J13" sqref="J13:L13"/>
      <selection pane="topRight" activeCell="H14" sqref="H14:P14"/>
    </sheetView>
  </sheetViews>
  <sheetFormatPr defaultColWidth="11.421875" defaultRowHeight="12.75"/>
  <cols>
    <col min="1" max="1" width="39.28125" style="2" customWidth="1"/>
    <col min="2" max="3" width="13.7109375" style="0" customWidth="1"/>
    <col min="4" max="4" width="5.7109375" style="0" customWidth="1"/>
    <col min="5" max="6" width="13.7109375" style="0" customWidth="1"/>
    <col min="7" max="7" width="5.7109375" style="0" customWidth="1"/>
    <col min="8" max="9" width="13.7109375" style="0" customWidth="1"/>
    <col min="10" max="10" width="5.7109375" style="0" customWidth="1"/>
    <col min="11" max="11" width="14.7109375" style="0" customWidth="1"/>
    <col min="12" max="12" width="16.421875" style="0" customWidth="1"/>
    <col min="13" max="13" width="6.28125" style="0" customWidth="1"/>
    <col min="14" max="14" width="13.8515625" style="0" customWidth="1"/>
    <col min="15" max="15" width="15.28125" style="0" customWidth="1"/>
    <col min="16" max="16" width="5.7109375" style="0" customWidth="1"/>
  </cols>
  <sheetData>
    <row r="1" spans="1:16" ht="47.25" customHeight="1">
      <c r="A1" s="96" t="s">
        <v>44</v>
      </c>
      <c r="B1" s="30"/>
      <c r="C1" s="30"/>
      <c r="D1" s="3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76.5" customHeight="1" thickBot="1">
      <c r="A2" s="97" t="s">
        <v>45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>
      <c r="A3" s="71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43" customFormat="1" ht="24.75" customHeight="1" thickBot="1">
      <c r="A4" s="70" t="s">
        <v>2</v>
      </c>
      <c r="B4" s="126">
        <v>1</v>
      </c>
      <c r="C4" s="127"/>
      <c r="D4" s="128"/>
      <c r="E4" s="126">
        <f>+B4+1</f>
        <v>2</v>
      </c>
      <c r="F4" s="127"/>
      <c r="G4" s="128"/>
      <c r="H4" s="117">
        <f>+E4+1</f>
        <v>3</v>
      </c>
      <c r="I4" s="118"/>
      <c r="J4" s="118"/>
      <c r="K4" s="118"/>
      <c r="L4" s="118"/>
      <c r="M4" s="118"/>
      <c r="N4" s="118"/>
      <c r="O4" s="118"/>
      <c r="P4" s="119"/>
    </row>
    <row r="5" spans="1:16" ht="12.75" customHeight="1">
      <c r="A5" s="129" t="s">
        <v>3</v>
      </c>
      <c r="B5" s="120" t="s">
        <v>46</v>
      </c>
      <c r="C5" s="121"/>
      <c r="D5" s="132"/>
      <c r="E5" s="120" t="s">
        <v>47</v>
      </c>
      <c r="F5" s="121"/>
      <c r="G5" s="132"/>
      <c r="H5" s="120" t="s">
        <v>48</v>
      </c>
      <c r="I5" s="121"/>
      <c r="J5" s="121"/>
      <c r="K5" s="121"/>
      <c r="L5" s="121"/>
      <c r="M5" s="121"/>
      <c r="N5" s="121"/>
      <c r="O5" s="121"/>
      <c r="P5" s="122"/>
    </row>
    <row r="6" spans="1:16" ht="13.5" thickBot="1">
      <c r="A6" s="130"/>
      <c r="B6" s="133"/>
      <c r="C6" s="134"/>
      <c r="D6" s="135"/>
      <c r="E6" s="133"/>
      <c r="F6" s="134"/>
      <c r="G6" s="135"/>
      <c r="H6" s="123"/>
      <c r="I6" s="124"/>
      <c r="J6" s="124"/>
      <c r="K6" s="124"/>
      <c r="L6" s="124"/>
      <c r="M6" s="124"/>
      <c r="N6" s="124"/>
      <c r="O6" s="124"/>
      <c r="P6" s="125"/>
    </row>
    <row r="7" spans="1:16" ht="25.5" customHeight="1" thickBot="1">
      <c r="A7" s="131"/>
      <c r="B7" s="136"/>
      <c r="C7" s="137"/>
      <c r="D7" s="138"/>
      <c r="E7" s="136"/>
      <c r="F7" s="137"/>
      <c r="G7" s="138"/>
      <c r="H7" s="108" t="s">
        <v>49</v>
      </c>
      <c r="I7" s="109"/>
      <c r="J7" s="109"/>
      <c r="K7" s="108" t="s">
        <v>50</v>
      </c>
      <c r="L7" s="109"/>
      <c r="M7" s="109"/>
      <c r="N7" s="108" t="s">
        <v>51</v>
      </c>
      <c r="O7" s="109"/>
      <c r="P7" s="110"/>
    </row>
    <row r="8" spans="1:16" ht="13.5" thickBot="1">
      <c r="A8" s="6" t="s">
        <v>0</v>
      </c>
      <c r="B8" s="62" t="s">
        <v>1</v>
      </c>
      <c r="C8" s="32" t="s">
        <v>18</v>
      </c>
      <c r="D8" s="32" t="s">
        <v>33</v>
      </c>
      <c r="E8" s="4" t="s">
        <v>1</v>
      </c>
      <c r="F8" s="5" t="s">
        <v>18</v>
      </c>
      <c r="G8" s="5" t="s">
        <v>33</v>
      </c>
      <c r="H8" s="62" t="s">
        <v>1</v>
      </c>
      <c r="I8" s="32" t="s">
        <v>18</v>
      </c>
      <c r="J8" s="32" t="s">
        <v>33</v>
      </c>
      <c r="K8" s="62" t="s">
        <v>1</v>
      </c>
      <c r="L8" s="32" t="s">
        <v>18</v>
      </c>
      <c r="M8" s="32" t="s">
        <v>33</v>
      </c>
      <c r="N8" s="62" t="s">
        <v>1</v>
      </c>
      <c r="O8" s="32" t="s">
        <v>18</v>
      </c>
      <c r="P8" s="32" t="s">
        <v>33</v>
      </c>
    </row>
    <row r="9" spans="1:16" ht="153">
      <c r="A9" s="59" t="s">
        <v>39</v>
      </c>
      <c r="B9" s="29" t="s">
        <v>52</v>
      </c>
      <c r="C9" s="88"/>
      <c r="D9" s="56" t="s">
        <v>33</v>
      </c>
      <c r="E9" s="29" t="s">
        <v>59</v>
      </c>
      <c r="F9" s="74"/>
      <c r="G9" s="56" t="s">
        <v>33</v>
      </c>
      <c r="H9" s="29" t="s">
        <v>62</v>
      </c>
      <c r="I9" s="90" t="s">
        <v>65</v>
      </c>
      <c r="J9" s="56"/>
      <c r="K9" s="29" t="s">
        <v>63</v>
      </c>
      <c r="L9" s="90" t="s">
        <v>66</v>
      </c>
      <c r="M9" s="56"/>
      <c r="N9" s="29" t="s">
        <v>64</v>
      </c>
      <c r="O9" s="90" t="s">
        <v>65</v>
      </c>
      <c r="P9" s="56"/>
    </row>
    <row r="10" spans="1:16" ht="47.25" customHeight="1">
      <c r="A10" s="60" t="s">
        <v>35</v>
      </c>
      <c r="B10" s="65" t="s">
        <v>53</v>
      </c>
      <c r="C10" s="63"/>
      <c r="D10" s="54" t="s">
        <v>33</v>
      </c>
      <c r="E10" s="65" t="s">
        <v>61</v>
      </c>
      <c r="F10" s="63"/>
      <c r="G10" s="54" t="s">
        <v>33</v>
      </c>
      <c r="H10" s="65" t="s">
        <v>67</v>
      </c>
      <c r="I10" s="75"/>
      <c r="J10" s="54" t="s">
        <v>33</v>
      </c>
      <c r="K10" s="65" t="s">
        <v>68</v>
      </c>
      <c r="L10" s="75"/>
      <c r="M10" s="54" t="s">
        <v>33</v>
      </c>
      <c r="N10" s="65" t="s">
        <v>69</v>
      </c>
      <c r="O10" s="75"/>
      <c r="P10" s="54" t="s">
        <v>33</v>
      </c>
    </row>
    <row r="11" spans="1:16" ht="102">
      <c r="A11" s="60" t="s">
        <v>6</v>
      </c>
      <c r="B11" s="65" t="s">
        <v>54</v>
      </c>
      <c r="C11" s="64"/>
      <c r="D11" s="55" t="s">
        <v>33</v>
      </c>
      <c r="E11" s="65" t="s">
        <v>42</v>
      </c>
      <c r="F11" s="89"/>
      <c r="G11" s="55" t="s">
        <v>33</v>
      </c>
      <c r="H11" s="76"/>
      <c r="I11" s="89" t="s">
        <v>70</v>
      </c>
      <c r="J11" s="55"/>
      <c r="K11" s="76"/>
      <c r="L11" s="89" t="s">
        <v>71</v>
      </c>
      <c r="M11" s="55"/>
      <c r="N11" s="76"/>
      <c r="O11" s="89" t="s">
        <v>70</v>
      </c>
      <c r="P11" s="55"/>
    </row>
    <row r="12" spans="1:16" ht="51.75" thickBot="1">
      <c r="A12" s="61" t="s">
        <v>38</v>
      </c>
      <c r="B12" s="66" t="s">
        <v>55</v>
      </c>
      <c r="C12" s="67"/>
      <c r="D12" s="68" t="s">
        <v>33</v>
      </c>
      <c r="E12" s="66" t="s">
        <v>60</v>
      </c>
      <c r="F12" s="67"/>
      <c r="G12" s="68" t="s">
        <v>33</v>
      </c>
      <c r="H12" s="66" t="s">
        <v>72</v>
      </c>
      <c r="I12" s="93"/>
      <c r="J12" s="68" t="s">
        <v>33</v>
      </c>
      <c r="K12" s="66" t="s">
        <v>73</v>
      </c>
      <c r="L12" s="93"/>
      <c r="M12" s="68" t="s">
        <v>33</v>
      </c>
      <c r="N12" s="66" t="s">
        <v>72</v>
      </c>
      <c r="O12" s="93"/>
      <c r="P12" s="68" t="s">
        <v>33</v>
      </c>
    </row>
    <row r="13" spans="1:16" s="40" customFormat="1" ht="32.25" customHeight="1" thickBot="1">
      <c r="A13" s="41" t="s">
        <v>4</v>
      </c>
      <c r="B13" s="111" t="str">
        <f>IF(B17=0,"CUMPLE","PENDIENTE")</f>
        <v>CUMPLE</v>
      </c>
      <c r="C13" s="112"/>
      <c r="D13" s="113"/>
      <c r="E13" s="114" t="str">
        <f>IF(E17=0,"CUMPLE","PENDIENTE")</f>
        <v>CUMPLE</v>
      </c>
      <c r="F13" s="115"/>
      <c r="G13" s="116"/>
      <c r="H13" s="114" t="str">
        <f>IF(H17=0,"CUMPLE","PENDIENTE")</f>
        <v>PENDIENTE</v>
      </c>
      <c r="I13" s="115"/>
      <c r="J13" s="116"/>
      <c r="K13" s="114" t="str">
        <f>IF(K17=0,"CUMPLE","PENDIENTE")</f>
        <v>PENDIENTE</v>
      </c>
      <c r="L13" s="115"/>
      <c r="M13" s="116"/>
      <c r="N13" s="114" t="str">
        <f>IF(N17=0,"CUMPLE","PENDIENTE")</f>
        <v>PENDIENTE</v>
      </c>
      <c r="O13" s="115"/>
      <c r="P13" s="116"/>
    </row>
    <row r="14" spans="1:16" s="38" customFormat="1" ht="32.25" customHeight="1" thickBot="1">
      <c r="A14" s="39"/>
      <c r="H14" s="105" t="s">
        <v>74</v>
      </c>
      <c r="I14" s="106"/>
      <c r="J14" s="106"/>
      <c r="K14" s="106"/>
      <c r="L14" s="106"/>
      <c r="M14" s="106"/>
      <c r="N14" s="106"/>
      <c r="O14" s="106"/>
      <c r="P14" s="107"/>
    </row>
    <row r="16" spans="2:14" ht="12.75" customHeight="1" hidden="1">
      <c r="B16" t="b">
        <f>AND(D9="OK",D10="OK",D11="OK",D12="OK")</f>
        <v>1</v>
      </c>
      <c r="E16" t="b">
        <f>AND(G9="OK",G10="OK",G11="OK",G12="OK")</f>
        <v>1</v>
      </c>
      <c r="H16" t="b">
        <f>AND(J9="OK",J10="OK",J11="OK",J12="OK")</f>
        <v>0</v>
      </c>
      <c r="K16" t="b">
        <f>AND(M9="OK",M10="OK",M11="OK",M12="OK")</f>
        <v>0</v>
      </c>
      <c r="N16" t="b">
        <f>AND(P9="OK",P10="OK",P11="OK",P12="OK")</f>
        <v>0</v>
      </c>
    </row>
    <row r="17" spans="2:14" ht="12.75" customHeight="1" hidden="1">
      <c r="B17">
        <f>IF(B16=FALSE,1,0)</f>
        <v>0</v>
      </c>
      <c r="E17">
        <f>IF(E16=FALSE,1,0)</f>
        <v>0</v>
      </c>
      <c r="H17">
        <f>IF(H16=FALSE,1,0)</f>
        <v>1</v>
      </c>
      <c r="K17">
        <f>IF(K16=FALSE,1,0)</f>
        <v>1</v>
      </c>
      <c r="N17">
        <f>IF(N16=FALSE,1,0)</f>
        <v>1</v>
      </c>
    </row>
  </sheetData>
  <sheetProtection/>
  <mergeCells count="16">
    <mergeCell ref="B4:D4"/>
    <mergeCell ref="A5:A7"/>
    <mergeCell ref="B5:D7"/>
    <mergeCell ref="E4:G4"/>
    <mergeCell ref="E5:G7"/>
    <mergeCell ref="H4:P4"/>
    <mergeCell ref="N13:P13"/>
    <mergeCell ref="H13:J13"/>
    <mergeCell ref="H5:P6"/>
    <mergeCell ref="H7:J7"/>
    <mergeCell ref="K7:M7"/>
    <mergeCell ref="K13:M13"/>
    <mergeCell ref="H14:P14"/>
    <mergeCell ref="N7:P7"/>
    <mergeCell ref="B13:D13"/>
    <mergeCell ref="E13:G13"/>
  </mergeCells>
  <conditionalFormatting sqref="N13 H13 B13 E13 K13">
    <cfRule type="expression" priority="1" dxfId="111" stopIfTrue="1">
      <formula>B17=1</formula>
    </cfRule>
  </conditionalFormatting>
  <printOptions horizontalCentered="1"/>
  <pageMargins left="0.1968503937007874" right="0.5118110236220472" top="1.1023622047244095" bottom="0.984251968503937" header="0" footer="0"/>
  <pageSetup fitToWidth="2" horizontalDpi="200" verticalDpi="200" orientation="landscape" scale="78" r:id="rId1"/>
  <headerFooter alignWithMargins="0">
    <oddFooter>&amp;CEvaluación Invitación Directa 027 de 2008 &amp;RHoja &amp;P de &amp;N</oddFooter>
  </headerFooter>
  <colBreaks count="1" manualBreakCount="1">
    <brk id="7" min="4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zoomScalePageLayoutView="0" workbookViewId="0" topLeftCell="A13">
      <pane xSplit="3" topLeftCell="D1" activePane="topRight" state="frozen"/>
      <selection pane="topLeft" activeCell="J13" sqref="J13:L13"/>
      <selection pane="topRight" activeCell="D22" sqref="D22:F22"/>
    </sheetView>
  </sheetViews>
  <sheetFormatPr defaultColWidth="11.421875" defaultRowHeight="12.75"/>
  <cols>
    <col min="1" max="1" width="7.57421875" style="33" customWidth="1"/>
    <col min="2" max="2" width="39.57421875" style="2" customWidth="1"/>
    <col min="3" max="3" width="19.28125" style="2" customWidth="1"/>
    <col min="4" max="4" width="16.7109375" style="2" customWidth="1"/>
    <col min="5" max="13" width="16.140625" style="0" customWidth="1"/>
    <col min="14" max="14" width="12.57421875" style="0" customWidth="1"/>
  </cols>
  <sheetData>
    <row r="1" ht="12.75">
      <c r="A1" s="36" t="s">
        <v>5</v>
      </c>
    </row>
    <row r="4" ht="13.5" thickBot="1"/>
    <row r="5" spans="2:13" ht="46.5" customHeight="1">
      <c r="B5" s="155" t="str">
        <f>+'VERIFICACION DE LOS D. FINANCIE'!A1</f>
        <v>EVALUACIÓN FINANCIERA: INVITACION DIRECTA Nº 027 DE 2008</v>
      </c>
      <c r="C5" s="156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54.75" customHeight="1" thickBot="1">
      <c r="B6" s="162" t="str">
        <f>+'VERIFICACION DE LOS D. FINANCIE'!A2</f>
        <v>OBJETO: CONTRATAR EL MANTENIMIENTO PREVENTIVO Y CORRECTIVO DE SUBESTACIONES, TABLEROS Y TRANSFORMADORES ELECTRICOS DE LAS SEDES DE LA UNIVERSIDAD</v>
      </c>
      <c r="C6" s="163"/>
      <c r="D6" s="95"/>
      <c r="E6" s="166"/>
      <c r="F6" s="167"/>
      <c r="G6" s="167"/>
      <c r="H6" s="167"/>
      <c r="I6" s="167"/>
      <c r="J6" s="167"/>
      <c r="K6" s="167"/>
      <c r="L6" s="167"/>
      <c r="M6" s="167"/>
    </row>
    <row r="7" ht="13.5" thickBot="1"/>
    <row r="8" spans="1:14" s="45" customFormat="1" ht="24.75" customHeight="1" thickBot="1">
      <c r="A8" s="44"/>
      <c r="B8" s="182" t="s">
        <v>2</v>
      </c>
      <c r="C8" s="183"/>
      <c r="D8" s="144">
        <v>1</v>
      </c>
      <c r="E8" s="145"/>
      <c r="F8" s="146"/>
      <c r="G8" s="144">
        <f>+D8+1</f>
        <v>2</v>
      </c>
      <c r="H8" s="145"/>
      <c r="I8" s="146"/>
      <c r="J8" s="144">
        <f>+G8+1</f>
        <v>3</v>
      </c>
      <c r="K8" s="184"/>
      <c r="L8" s="184"/>
      <c r="M8" s="184"/>
      <c r="N8" s="185"/>
    </row>
    <row r="9" spans="2:14" ht="12.75" customHeight="1">
      <c r="B9" s="120" t="s">
        <v>3</v>
      </c>
      <c r="C9" s="168"/>
      <c r="D9" s="120" t="str">
        <f>+'VERIFICACION DE LOS D. FINANCIE'!B5</f>
        <v>CONTROLES Y AUTOMATIZACIONES S.A.</v>
      </c>
      <c r="E9" s="121"/>
      <c r="F9" s="122"/>
      <c r="G9" s="120" t="str">
        <f>+'VERIFICACION DE LOS D. FINANCIE'!E5</f>
        <v>ENERGY TECHNOLOGIES LTDA.</v>
      </c>
      <c r="H9" s="121"/>
      <c r="I9" s="122"/>
      <c r="J9" s="120" t="str">
        <f>+'VERIFICACION DE LOS D. FINANCIE'!H5</f>
        <v>CONSORCIO BEL</v>
      </c>
      <c r="K9" s="121"/>
      <c r="L9" s="121"/>
      <c r="M9" s="121"/>
      <c r="N9" s="122"/>
    </row>
    <row r="10" spans="2:14" ht="13.5" thickBot="1">
      <c r="B10" s="133"/>
      <c r="C10" s="169"/>
      <c r="D10" s="133"/>
      <c r="E10" s="134"/>
      <c r="F10" s="157"/>
      <c r="G10" s="133"/>
      <c r="H10" s="134"/>
      <c r="I10" s="157"/>
      <c r="J10" s="123"/>
      <c r="K10" s="124"/>
      <c r="L10" s="124"/>
      <c r="M10" s="124"/>
      <c r="N10" s="125"/>
    </row>
    <row r="11" spans="2:14" ht="39" thickBot="1">
      <c r="B11" s="136"/>
      <c r="C11" s="170"/>
      <c r="D11" s="123"/>
      <c r="E11" s="124"/>
      <c r="F11" s="125"/>
      <c r="G11" s="123"/>
      <c r="H11" s="124"/>
      <c r="I11" s="125"/>
      <c r="J11" s="79" t="str">
        <f>+'VERIFICACION DE LOS D. FINANCIE'!H7</f>
        <v>BRP INGENIEROS E.U.</v>
      </c>
      <c r="K11" s="79" t="str">
        <f>+'VERIFICACION DE LOS D. FINANCIE'!K7</f>
        <v>EPC INGENIEROS LTDA.</v>
      </c>
      <c r="L11" s="79" t="str">
        <f>+'VERIFICACION DE LOS D. FINANCIE'!N7</f>
        <v>LUIS AURELIO DIAZ Y CIA LTDA</v>
      </c>
      <c r="M11" s="77"/>
      <c r="N11" s="78"/>
    </row>
    <row r="12" spans="1:14" s="3" customFormat="1" ht="25.5" customHeight="1" thickBot="1">
      <c r="A12" s="1"/>
      <c r="B12" s="108" t="s">
        <v>10</v>
      </c>
      <c r="C12" s="160"/>
      <c r="D12" s="158" t="s">
        <v>11</v>
      </c>
      <c r="E12" s="159"/>
      <c r="F12" s="160"/>
      <c r="G12" s="158" t="s">
        <v>11</v>
      </c>
      <c r="H12" s="159"/>
      <c r="I12" s="160"/>
      <c r="J12" s="98">
        <v>0.34</v>
      </c>
      <c r="K12" s="98">
        <v>0.33</v>
      </c>
      <c r="L12" s="98">
        <v>0.33</v>
      </c>
      <c r="M12" s="99"/>
      <c r="N12" s="100"/>
    </row>
    <row r="13" spans="2:14" ht="13.5" thickBot="1">
      <c r="B13" s="7" t="s">
        <v>0</v>
      </c>
      <c r="C13" s="12" t="s">
        <v>12</v>
      </c>
      <c r="D13" s="7" t="s">
        <v>8</v>
      </c>
      <c r="E13" s="13" t="s">
        <v>7</v>
      </c>
      <c r="F13" s="14" t="s">
        <v>9</v>
      </c>
      <c r="G13" s="7" t="s">
        <v>8</v>
      </c>
      <c r="H13" s="31" t="s">
        <v>7</v>
      </c>
      <c r="I13" s="32" t="s">
        <v>9</v>
      </c>
      <c r="J13" s="101" t="s">
        <v>8</v>
      </c>
      <c r="K13" s="101" t="s">
        <v>8</v>
      </c>
      <c r="L13" s="101" t="s">
        <v>8</v>
      </c>
      <c r="M13" s="102" t="s">
        <v>7</v>
      </c>
      <c r="N13" s="103" t="s">
        <v>9</v>
      </c>
    </row>
    <row r="14" spans="1:14" ht="31.5" customHeight="1">
      <c r="A14" s="37">
        <v>0.7</v>
      </c>
      <c r="B14" s="171" t="s">
        <v>36</v>
      </c>
      <c r="C14" s="8" t="s">
        <v>13</v>
      </c>
      <c r="D14" s="28">
        <v>315897</v>
      </c>
      <c r="E14" s="140">
        <f>+IF(D14="","",D14/D15)</f>
        <v>0.2845101272697306</v>
      </c>
      <c r="F14" s="164" t="str">
        <f>IF(E14&lt;=$A14,"CUMPLE","NO CUMPLE")</f>
        <v>CUMPLE</v>
      </c>
      <c r="G14" s="28">
        <v>93796</v>
      </c>
      <c r="H14" s="140">
        <f>+IF(G14="","",G14/G15)</f>
        <v>0.11366787206608045</v>
      </c>
      <c r="I14" s="161" t="str">
        <f>+IF(H14&lt;=$A14,"CUMPLE","NO CUMPLE")</f>
        <v>CUMPLE</v>
      </c>
      <c r="J14" s="28">
        <v>151990</v>
      </c>
      <c r="K14" s="28">
        <v>3200</v>
      </c>
      <c r="L14" s="28">
        <v>280086</v>
      </c>
      <c r="M14" s="140">
        <f>+IF(J14="","",(((J14*J12)+(K14*K12)+(L14*L12))/((J15*J12)+(K15*K12)+(L15*L12))))</f>
        <v>0.5251742015595282</v>
      </c>
      <c r="N14" s="161" t="str">
        <f>IF(M14&lt;=$A14,"CUMPLE","NO CUMPLE")</f>
        <v>CUMPLE</v>
      </c>
    </row>
    <row r="15" spans="2:14" ht="31.5" customHeight="1" thickBot="1">
      <c r="B15" s="172"/>
      <c r="C15" s="9" t="s">
        <v>14</v>
      </c>
      <c r="D15" s="19">
        <v>1110319</v>
      </c>
      <c r="E15" s="141"/>
      <c r="F15" s="165"/>
      <c r="G15" s="19">
        <v>825176</v>
      </c>
      <c r="H15" s="141"/>
      <c r="I15" s="150"/>
      <c r="J15" s="19">
        <v>413856</v>
      </c>
      <c r="K15" s="19">
        <v>24518</v>
      </c>
      <c r="L15" s="19">
        <v>386677</v>
      </c>
      <c r="M15" s="141"/>
      <c r="N15" s="150"/>
    </row>
    <row r="16" spans="1:14" ht="31.5" customHeight="1">
      <c r="A16" s="37">
        <v>0.3</v>
      </c>
      <c r="B16" s="173" t="s">
        <v>56</v>
      </c>
      <c r="C16" s="10" t="s">
        <v>15</v>
      </c>
      <c r="D16" s="19">
        <v>627094</v>
      </c>
      <c r="E16" s="142">
        <f>+IF(D16="","",D16-D17)</f>
        <v>454987</v>
      </c>
      <c r="F16" s="165" t="str">
        <f>+IF(E16&gt;=D$32,"CUMPLE"," NO CUMPLE")</f>
        <v>CUMPLE</v>
      </c>
      <c r="G16" s="19">
        <v>641488</v>
      </c>
      <c r="H16" s="142">
        <f>+IF(G16="","",G16-G17)</f>
        <v>547692</v>
      </c>
      <c r="I16" s="150" t="str">
        <f>+IF(H16&gt;=G$32,"CUMPLE"," NO CUMPLE")</f>
        <v>CUMPLE</v>
      </c>
      <c r="J16" s="19">
        <v>343697</v>
      </c>
      <c r="K16" s="19">
        <v>10426</v>
      </c>
      <c r="L16" s="19">
        <v>352641</v>
      </c>
      <c r="M16" s="142">
        <f>+IF(J16="","",(((J16*J12)+(K16*K12)+(L16*L12))-((J17*J12)+(K17*K12)+(L17*L12))))</f>
        <v>115745.01000000002</v>
      </c>
      <c r="N16" s="150" t="str">
        <f>+IF(M16&gt;=L$32,"CUMPLE"," NO CUMPLE")</f>
        <v>CUMPLE</v>
      </c>
    </row>
    <row r="17" spans="2:14" ht="31.5" customHeight="1" thickBot="1">
      <c r="B17" s="172"/>
      <c r="C17" s="11" t="s">
        <v>16</v>
      </c>
      <c r="D17" s="19">
        <v>172107</v>
      </c>
      <c r="E17" s="142"/>
      <c r="F17" s="165"/>
      <c r="G17" s="19">
        <v>93796</v>
      </c>
      <c r="H17" s="142"/>
      <c r="I17" s="150"/>
      <c r="J17" s="19">
        <v>80705</v>
      </c>
      <c r="K17" s="19">
        <v>3200</v>
      </c>
      <c r="L17" s="19">
        <v>280086</v>
      </c>
      <c r="M17" s="142"/>
      <c r="N17" s="150"/>
    </row>
    <row r="18" spans="1:14" ht="31.5" customHeight="1">
      <c r="A18" s="33">
        <v>1.3</v>
      </c>
      <c r="B18" s="174" t="s">
        <v>41</v>
      </c>
      <c r="C18" s="10" t="s">
        <v>15</v>
      </c>
      <c r="D18" s="19">
        <f>+D16</f>
        <v>627094</v>
      </c>
      <c r="E18" s="139">
        <f>+IF(D18="","",D18/D19)</f>
        <v>3.643628672860488</v>
      </c>
      <c r="F18" s="165" t="str">
        <f>+IF(E18&gt;=1,"CUMPLE","NO CUMPLE")</f>
        <v>CUMPLE</v>
      </c>
      <c r="G18" s="19">
        <f>+G16</f>
        <v>641488</v>
      </c>
      <c r="H18" s="139">
        <f>+IF(G18="","",G18/G19)</f>
        <v>6.839182907586678</v>
      </c>
      <c r="I18" s="150" t="str">
        <f>+IF(H18&gt;=1,"CUMPLE","NO CUMPLE")</f>
        <v>CUMPLE</v>
      </c>
      <c r="J18" s="19">
        <f aca="true" t="shared" si="0" ref="J18:L19">+J16</f>
        <v>343697</v>
      </c>
      <c r="K18" s="80">
        <f t="shared" si="0"/>
        <v>10426</v>
      </c>
      <c r="L18" s="80">
        <f t="shared" si="0"/>
        <v>352641</v>
      </c>
      <c r="M18" s="139">
        <f>+IF(J18="","",(((J18*J12)+(K18*K12)+(L18*L12))/((J19*J12)+(K19*K12)+(L19*L12))))</f>
        <v>1.9571708959869698</v>
      </c>
      <c r="N18" s="150" t="str">
        <f>+IF(M18&gt;=$A18,"CUMPLE","NO CUMPLE")</f>
        <v>CUMPLE</v>
      </c>
    </row>
    <row r="19" spans="2:14" ht="31.5" customHeight="1" thickBot="1">
      <c r="B19" s="172"/>
      <c r="C19" s="11" t="s">
        <v>16</v>
      </c>
      <c r="D19" s="19">
        <f>+D17</f>
        <v>172107</v>
      </c>
      <c r="E19" s="139"/>
      <c r="F19" s="165"/>
      <c r="G19" s="19">
        <f>+G17</f>
        <v>93796</v>
      </c>
      <c r="H19" s="139"/>
      <c r="I19" s="150"/>
      <c r="J19" s="19">
        <f t="shared" si="0"/>
        <v>80705</v>
      </c>
      <c r="K19" s="80">
        <f t="shared" si="0"/>
        <v>3200</v>
      </c>
      <c r="L19" s="80">
        <f t="shared" si="0"/>
        <v>280086</v>
      </c>
      <c r="M19" s="139"/>
      <c r="N19" s="150"/>
    </row>
    <row r="20" spans="1:14" ht="34.5" customHeight="1">
      <c r="A20" s="86">
        <v>1.5</v>
      </c>
      <c r="B20" s="175" t="s">
        <v>57</v>
      </c>
      <c r="C20" s="87" t="s">
        <v>58</v>
      </c>
      <c r="D20" s="19">
        <f>+D$28/1000</f>
        <v>80083.68</v>
      </c>
      <c r="E20" s="176">
        <f>+IF(D20="","",D20/D21)</f>
        <v>0.1008074801553834</v>
      </c>
      <c r="F20" s="153" t="str">
        <f>+IF(E20&lt;=$A$20,"CUMPLE","NO CUMPLE")</f>
        <v>CUMPLE</v>
      </c>
      <c r="G20" s="19">
        <f>+G$28/1000</f>
        <v>80083.68</v>
      </c>
      <c r="H20" s="151">
        <f>+IF(G20="","",G20/G21)</f>
        <v>0.10949667751374113</v>
      </c>
      <c r="I20" s="153" t="str">
        <f>+IF(H20&lt;=$A$20,"CUMPLE","NO CUMPLE")</f>
        <v>CUMPLE</v>
      </c>
      <c r="J20" s="19">
        <f>+L30/1000</f>
        <v>80083.68</v>
      </c>
      <c r="K20" s="80">
        <f>+L30/1000</f>
        <v>80083.68</v>
      </c>
      <c r="L20" s="80">
        <f>+L30/1000</f>
        <v>80083.68</v>
      </c>
      <c r="M20" s="139">
        <f>+IF(J20="","",(((J20*J12)+(K20*K12)+(L20*L12))/((J21*J12)+(K21*K12)+(L21*L12))))</f>
        <v>0.6101873595987821</v>
      </c>
      <c r="N20" s="150" t="str">
        <f>+IF(M20&lt;=$A20,"CUMPLE","NO CUMPLE")</f>
        <v>CUMPLE</v>
      </c>
    </row>
    <row r="21" spans="2:14" ht="31.5" customHeight="1" thickBot="1">
      <c r="B21" s="172"/>
      <c r="C21" s="11" t="s">
        <v>40</v>
      </c>
      <c r="D21" s="81">
        <f>+D15-D14</f>
        <v>794422</v>
      </c>
      <c r="E21" s="177"/>
      <c r="F21" s="154"/>
      <c r="G21" s="81">
        <f>+G15-G14</f>
        <v>731380</v>
      </c>
      <c r="H21" s="152"/>
      <c r="I21" s="154"/>
      <c r="J21" s="81">
        <f>+J15-J14</f>
        <v>261866</v>
      </c>
      <c r="K21" s="82">
        <f>+K15-K14</f>
        <v>21318</v>
      </c>
      <c r="L21" s="82">
        <f>+L15-L14</f>
        <v>106591</v>
      </c>
      <c r="M21" s="143"/>
      <c r="N21" s="178"/>
    </row>
    <row r="22" spans="2:14" ht="27" customHeight="1" thickBot="1">
      <c r="B22" s="42" t="s">
        <v>4</v>
      </c>
      <c r="C22" s="42"/>
      <c r="D22" s="147" t="str">
        <f>IF(F35=TRUE,"CUMPLE","NO CUMPLE")</f>
        <v>CUMPLE</v>
      </c>
      <c r="E22" s="148"/>
      <c r="F22" s="149"/>
      <c r="G22" s="147" t="str">
        <f>IF(I35=TRUE,"CUMPLE","NO CUMPLE")</f>
        <v>CUMPLE</v>
      </c>
      <c r="H22" s="148"/>
      <c r="I22" s="149"/>
      <c r="J22" s="179" t="str">
        <f>IF(N35=TRUE,"CUMPLE","NO CUMPLE")</f>
        <v>CUMPLE</v>
      </c>
      <c r="K22" s="180"/>
      <c r="L22" s="180"/>
      <c r="M22" s="180"/>
      <c r="N22" s="181"/>
    </row>
    <row r="24" spans="2:14" ht="16.5">
      <c r="B24" s="85">
        <v>1</v>
      </c>
      <c r="C24" s="53">
        <v>0</v>
      </c>
      <c r="D24" s="48">
        <v>0</v>
      </c>
      <c r="E24" s="49"/>
      <c r="F24" s="49"/>
      <c r="G24" s="48">
        <v>0</v>
      </c>
      <c r="H24" s="49"/>
      <c r="I24" s="49"/>
      <c r="J24" s="49"/>
      <c r="K24" s="49"/>
      <c r="L24" s="48">
        <v>0</v>
      </c>
      <c r="M24" s="49"/>
      <c r="N24" s="49"/>
    </row>
    <row r="25" spans="2:14" ht="16.5">
      <c r="B25" s="85">
        <v>2</v>
      </c>
      <c r="C25" s="53">
        <v>0</v>
      </c>
      <c r="D25" s="48">
        <v>0</v>
      </c>
      <c r="E25" s="49"/>
      <c r="F25" s="49"/>
      <c r="G25" s="48">
        <v>0</v>
      </c>
      <c r="H25" s="49"/>
      <c r="I25" s="49"/>
      <c r="J25" s="49"/>
      <c r="K25" s="49"/>
      <c r="L25" s="48">
        <v>0</v>
      </c>
      <c r="M25" s="49"/>
      <c r="N25" s="49"/>
    </row>
    <row r="26" spans="2:14" ht="16.5">
      <c r="B26" s="85">
        <v>3</v>
      </c>
      <c r="C26" s="53">
        <v>0</v>
      </c>
      <c r="D26" s="48">
        <v>0</v>
      </c>
      <c r="E26" s="49"/>
      <c r="F26" s="49"/>
      <c r="G26" s="48">
        <v>0</v>
      </c>
      <c r="H26" s="49"/>
      <c r="I26" s="49"/>
      <c r="J26" s="49"/>
      <c r="K26" s="49"/>
      <c r="L26" s="48">
        <v>0</v>
      </c>
      <c r="M26" s="50"/>
      <c r="N26" s="50"/>
    </row>
    <row r="27" spans="2:14" ht="16.5">
      <c r="B27" s="85">
        <v>4</v>
      </c>
      <c r="C27" s="53">
        <v>0</v>
      </c>
      <c r="D27" s="48">
        <v>0</v>
      </c>
      <c r="E27" s="49"/>
      <c r="F27" s="49"/>
      <c r="G27" s="48">
        <v>0</v>
      </c>
      <c r="H27" s="49"/>
      <c r="I27" s="49"/>
      <c r="J27" s="49"/>
      <c r="K27" s="49"/>
      <c r="L27" s="48">
        <v>0</v>
      </c>
      <c r="M27" s="49"/>
      <c r="N27" s="49"/>
    </row>
    <row r="28" spans="2:14" ht="12.75">
      <c r="B28" s="57" t="s">
        <v>37</v>
      </c>
      <c r="C28" s="58">
        <f>SUM(C24:C27)</f>
        <v>0</v>
      </c>
      <c r="D28" s="50">
        <v>80083680</v>
      </c>
      <c r="E28" s="49"/>
      <c r="F28" s="49"/>
      <c r="G28" s="50">
        <v>80083680</v>
      </c>
      <c r="H28" s="49"/>
      <c r="I28" s="49"/>
      <c r="J28" s="50"/>
      <c r="K28" s="50"/>
      <c r="L28" s="50">
        <v>80083680</v>
      </c>
      <c r="M28" s="51"/>
      <c r="N28" s="51"/>
    </row>
    <row r="29" spans="2:14" ht="12.75">
      <c r="B29" s="47"/>
      <c r="C29" s="47"/>
      <c r="D29" s="47"/>
      <c r="E29" s="49"/>
      <c r="F29" s="49"/>
      <c r="G29" s="47"/>
      <c r="H29" s="49"/>
      <c r="I29" s="49"/>
      <c r="J29" s="49"/>
      <c r="K29" s="49"/>
      <c r="L29" s="47"/>
      <c r="M29" s="51"/>
      <c r="N29" s="51"/>
    </row>
    <row r="30" spans="2:14" ht="12.75">
      <c r="B30" s="47"/>
      <c r="C30" s="47"/>
      <c r="E30" s="49"/>
      <c r="F30" s="51"/>
      <c r="G30" s="2"/>
      <c r="H30" s="51"/>
      <c r="I30" s="51"/>
      <c r="J30" s="50"/>
      <c r="K30" s="50"/>
      <c r="L30" s="50">
        <f>+L28</f>
        <v>80083680</v>
      </c>
      <c r="M30" s="47"/>
      <c r="N30" s="47"/>
    </row>
    <row r="31" spans="2:14" ht="12.75">
      <c r="B31" s="52">
        <f>+A16</f>
        <v>0.3</v>
      </c>
      <c r="C31" s="47"/>
      <c r="D31" s="51">
        <f>+D28*$B$31</f>
        <v>24025104</v>
      </c>
      <c r="E31" s="49"/>
      <c r="F31" s="51"/>
      <c r="G31" s="51">
        <f>+G28*$B$31</f>
        <v>24025104</v>
      </c>
      <c r="H31" s="51"/>
      <c r="I31" s="51"/>
      <c r="J31" s="51"/>
      <c r="K31" s="51"/>
      <c r="L31" s="51">
        <f>+L28*$B$31</f>
        <v>24025104</v>
      </c>
      <c r="M31" s="49"/>
      <c r="N31" s="49"/>
    </row>
    <row r="32" spans="2:14" ht="18" customHeight="1">
      <c r="B32" s="46" t="s">
        <v>17</v>
      </c>
      <c r="C32" s="47"/>
      <c r="D32" s="51">
        <f>+D31/1000</f>
        <v>24025.104</v>
      </c>
      <c r="E32" s="49"/>
      <c r="F32" s="47"/>
      <c r="G32" s="51">
        <f>+G31/1000</f>
        <v>24025.104</v>
      </c>
      <c r="H32" s="47"/>
      <c r="I32" s="47"/>
      <c r="J32" s="47"/>
      <c r="K32" s="47"/>
      <c r="L32" s="51">
        <f>+L31/1000</f>
        <v>24025.104</v>
      </c>
      <c r="M32" s="49"/>
      <c r="N32" s="49"/>
    </row>
    <row r="33" spans="2:13" ht="12.75">
      <c r="B33" s="47"/>
      <c r="C33" s="47"/>
      <c r="D33" s="47"/>
      <c r="E33" s="49"/>
      <c r="F33" s="49"/>
      <c r="G33" s="49"/>
      <c r="H33" s="49"/>
      <c r="I33" s="49"/>
      <c r="J33" s="49"/>
      <c r="K33" s="49"/>
      <c r="L33" s="49"/>
      <c r="M33" s="49"/>
    </row>
    <row r="34" spans="2:13" ht="12.75">
      <c r="B34" s="47"/>
      <c r="C34" s="47"/>
      <c r="D34" s="47"/>
      <c r="E34" s="49"/>
      <c r="F34" s="49"/>
      <c r="G34" s="49"/>
      <c r="H34" s="49"/>
      <c r="I34" s="49"/>
      <c r="J34" s="49"/>
      <c r="K34" s="49"/>
      <c r="L34" s="49"/>
      <c r="M34" s="49"/>
    </row>
    <row r="35" spans="2:14" ht="12.75" customHeight="1">
      <c r="B35" s="47"/>
      <c r="C35" s="47"/>
      <c r="D35" s="47"/>
      <c r="E35" s="49"/>
      <c r="F35" s="49" t="b">
        <f>AND(F14="CUMPLE",F16="CUMPLE",F18="CUMPLE",F20="CUMPLE")</f>
        <v>1</v>
      </c>
      <c r="G35" s="49"/>
      <c r="H35" s="49"/>
      <c r="I35" s="49" t="b">
        <f>AND(I14="CUMPLE",I16="CUMPLE",I18="CUMPLE",I20="CUMPLE")</f>
        <v>1</v>
      </c>
      <c r="J35" s="49"/>
      <c r="K35" s="49"/>
      <c r="L35" s="49"/>
      <c r="M35" s="49"/>
      <c r="N35" s="49" t="b">
        <f>AND(N14="CUMPLE",N16="CUMPLE",N18="CUMPLE",N20="CUMPLE")</f>
        <v>1</v>
      </c>
    </row>
    <row r="36" spans="2:14" ht="12.75" customHeight="1">
      <c r="B36" s="47"/>
      <c r="C36" s="47"/>
      <c r="D36" s="47"/>
      <c r="E36" s="49"/>
      <c r="F36" s="49">
        <f>IF(F35=TRUE,1,0)</f>
        <v>1</v>
      </c>
      <c r="G36" s="49"/>
      <c r="H36" s="49"/>
      <c r="I36" s="49">
        <f>IF(I35=TRUE,1,0)</f>
        <v>1</v>
      </c>
      <c r="J36" s="49"/>
      <c r="K36" s="49"/>
      <c r="L36" s="49"/>
      <c r="M36" s="49"/>
      <c r="N36" s="49">
        <f>IF(N35=TRUE,1,0)</f>
        <v>1</v>
      </c>
    </row>
    <row r="37" spans="2:14" ht="12.75" customHeight="1">
      <c r="B37" s="47"/>
      <c r="C37" s="47"/>
      <c r="D37" s="47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2:12" ht="17.25" thickBot="1">
      <c r="B38" s="91" t="s">
        <v>43</v>
      </c>
      <c r="C38" s="47"/>
      <c r="D38" s="92">
        <f>+D21*1.5*1000</f>
        <v>1191633000</v>
      </c>
      <c r="E38" s="49"/>
      <c r="F38" s="49"/>
      <c r="G38" s="92">
        <f>+G21*1.5*1000</f>
        <v>1097070000</v>
      </c>
      <c r="H38" s="49"/>
      <c r="I38" s="49"/>
      <c r="J38" s="49"/>
      <c r="K38" s="49"/>
      <c r="L38" s="92">
        <f>+L21*1.5*1000</f>
        <v>159886500</v>
      </c>
    </row>
    <row r="39" spans="2:11" ht="12.75">
      <c r="B39" s="47"/>
      <c r="C39" s="47"/>
      <c r="D39" s="47"/>
      <c r="E39" s="49"/>
      <c r="F39" s="49"/>
      <c r="G39" s="49"/>
      <c r="H39" s="49"/>
      <c r="I39" s="49"/>
      <c r="J39" s="49"/>
      <c r="K39" s="49"/>
    </row>
    <row r="41" spans="10:14" ht="15.75">
      <c r="J41" s="38"/>
      <c r="K41" s="38"/>
      <c r="L41" s="104"/>
      <c r="M41" s="83"/>
      <c r="N41" s="83"/>
    </row>
    <row r="43" spans="3:12" ht="15.75">
      <c r="C43" s="22"/>
      <c r="D43" s="15"/>
      <c r="J43" s="83"/>
      <c r="K43" s="83"/>
      <c r="L43" s="84"/>
    </row>
  </sheetData>
  <sheetProtection/>
  <mergeCells count="45">
    <mergeCell ref="J8:N8"/>
    <mergeCell ref="J9:N10"/>
    <mergeCell ref="N14:N15"/>
    <mergeCell ref="N16:N17"/>
    <mergeCell ref="N18:N19"/>
    <mergeCell ref="N20:N21"/>
    <mergeCell ref="J22:N22"/>
    <mergeCell ref="B8:C8"/>
    <mergeCell ref="E18:E19"/>
    <mergeCell ref="E16:E17"/>
    <mergeCell ref="F16:F17"/>
    <mergeCell ref="F18:F19"/>
    <mergeCell ref="H18:H19"/>
    <mergeCell ref="I18:I19"/>
    <mergeCell ref="B18:B19"/>
    <mergeCell ref="B20:B21"/>
    <mergeCell ref="E20:E21"/>
    <mergeCell ref="F20:F21"/>
    <mergeCell ref="B9:C11"/>
    <mergeCell ref="B12:C12"/>
    <mergeCell ref="B14:B15"/>
    <mergeCell ref="B16:B17"/>
    <mergeCell ref="B5:C5"/>
    <mergeCell ref="G9:I11"/>
    <mergeCell ref="G12:I12"/>
    <mergeCell ref="H14:H15"/>
    <mergeCell ref="I14:I15"/>
    <mergeCell ref="B6:C6"/>
    <mergeCell ref="F14:F15"/>
    <mergeCell ref="E6:M6"/>
    <mergeCell ref="D9:F11"/>
    <mergeCell ref="D12:F12"/>
    <mergeCell ref="D8:F8"/>
    <mergeCell ref="G22:I22"/>
    <mergeCell ref="H16:H17"/>
    <mergeCell ref="I16:I17"/>
    <mergeCell ref="G8:I8"/>
    <mergeCell ref="H20:H21"/>
    <mergeCell ref="I20:I21"/>
    <mergeCell ref="D22:F22"/>
    <mergeCell ref="E14:E15"/>
    <mergeCell ref="M18:M19"/>
    <mergeCell ref="M14:M15"/>
    <mergeCell ref="M16:M17"/>
    <mergeCell ref="M20:M21"/>
  </mergeCells>
  <conditionalFormatting sqref="G22">
    <cfRule type="expression" priority="1" dxfId="111" stopIfTrue="1">
      <formula>I36=0</formula>
    </cfRule>
  </conditionalFormatting>
  <conditionalFormatting sqref="H22:I22">
    <cfRule type="expression" priority="23" dxfId="0" stopIfTrue="1">
      <formula>#REF!=0</formula>
    </cfRule>
  </conditionalFormatting>
  <conditionalFormatting sqref="D22:F22 J22:N22">
    <cfRule type="cellIs" priority="3" dxfId="111" operator="equal" stopIfTrue="1">
      <formula>"NO CUMPLE"</formula>
    </cfRule>
  </conditionalFormatting>
  <hyperlinks>
    <hyperlink ref="A1" location="Hoja1!A1" display="VOLVER AL MENU"/>
  </hyperlinks>
  <printOptions horizontalCentered="1"/>
  <pageMargins left="1.062992125984252" right="0.5118110236220472" top="1.1023622047244095" bottom="0.984251968503937" header="0" footer="0"/>
  <pageSetup fitToWidth="3" horizontalDpi="600" verticalDpi="600" orientation="landscape" scale="78" r:id="rId1"/>
  <headerFooter alignWithMargins="0">
    <oddFooter>&amp;CEvaluación Convocatoria Pública 017 de 2008 &amp;RHoja &amp;P de &amp;N</oddFooter>
  </headerFooter>
  <colBreaks count="1" manualBreakCount="1">
    <brk id="9" min="8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89" t="s">
        <v>34</v>
      </c>
      <c r="B2" s="190"/>
      <c r="C2" s="190"/>
    </row>
    <row r="3" spans="11:16" ht="12.75" customHeight="1">
      <c r="K3" s="187" t="e">
        <f>+'EVALUACIÓN FINANCIERA'!#REF!</f>
        <v>#REF!</v>
      </c>
      <c r="L3" s="188"/>
      <c r="M3" s="188"/>
      <c r="N3" s="188"/>
      <c r="O3" s="188"/>
      <c r="P3" s="188"/>
    </row>
    <row r="4" spans="1:16" s="16" customFormat="1" ht="30" customHeight="1">
      <c r="A4" s="27" t="s">
        <v>30</v>
      </c>
      <c r="B4" s="186" t="str">
        <f>+'EVALUACIÓN FINANCIERA'!D9</f>
        <v>CONTROLES Y AUTOMATIZACIONES S.A.</v>
      </c>
      <c r="C4" s="186"/>
      <c r="D4" s="186"/>
      <c r="E4" s="186" t="e">
        <f>+'EVALUACIÓN FINANCIERA'!#REF!</f>
        <v>#REF!</v>
      </c>
      <c r="F4" s="186"/>
      <c r="G4" s="186"/>
      <c r="H4" s="186" t="e">
        <f>+'EVALUACIÓN FINANCIERA'!#REF!</f>
        <v>#REF!</v>
      </c>
      <c r="I4" s="186"/>
      <c r="J4" s="186"/>
      <c r="K4" s="186"/>
      <c r="L4" s="186"/>
      <c r="M4" s="186"/>
      <c r="N4" s="186" t="e">
        <f>+'EVALUACIÓN FINANCIERA'!#REF!</f>
        <v>#REF!</v>
      </c>
      <c r="O4" s="186"/>
      <c r="P4" s="186"/>
    </row>
    <row r="5" spans="2:16" s="1" customFormat="1" ht="12.75">
      <c r="B5" s="17" t="s">
        <v>19</v>
      </c>
      <c r="C5" s="17" t="s">
        <v>20</v>
      </c>
      <c r="D5" s="17" t="s">
        <v>21</v>
      </c>
      <c r="E5" s="17" t="s">
        <v>19</v>
      </c>
      <c r="F5" s="17" t="s">
        <v>20</v>
      </c>
      <c r="G5" s="17" t="s">
        <v>21</v>
      </c>
      <c r="H5" s="17" t="s">
        <v>19</v>
      </c>
      <c r="I5" s="17" t="s">
        <v>20</v>
      </c>
      <c r="J5" s="17" t="s">
        <v>21</v>
      </c>
      <c r="K5" s="17" t="s">
        <v>19</v>
      </c>
      <c r="L5" s="17" t="s">
        <v>20</v>
      </c>
      <c r="M5" s="17" t="s">
        <v>21</v>
      </c>
      <c r="N5" s="17" t="s">
        <v>19</v>
      </c>
      <c r="O5" s="17" t="s">
        <v>20</v>
      </c>
      <c r="P5" s="17" t="s">
        <v>21</v>
      </c>
    </row>
    <row r="6" ht="12.75">
      <c r="B6" s="20"/>
    </row>
    <row r="7" spans="1:16" ht="12.75">
      <c r="A7" s="18" t="s">
        <v>23</v>
      </c>
      <c r="B7" s="23"/>
      <c r="C7" s="23"/>
      <c r="D7" s="23">
        <f>+B7-C7</f>
        <v>0</v>
      </c>
      <c r="E7" s="23"/>
      <c r="F7" s="23"/>
      <c r="G7" s="23">
        <f>+E7-F7</f>
        <v>0</v>
      </c>
      <c r="H7" s="23"/>
      <c r="I7" s="23"/>
      <c r="J7" s="23">
        <f>+H7-I7</f>
        <v>0</v>
      </c>
      <c r="K7" s="23"/>
      <c r="L7" s="23"/>
      <c r="M7" s="23">
        <f>+K7-L7</f>
        <v>0</v>
      </c>
      <c r="N7" s="23"/>
      <c r="O7" s="23"/>
      <c r="P7" s="23">
        <f>+N7-O7</f>
        <v>0</v>
      </c>
    </row>
    <row r="8" spans="2:16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8" t="s">
        <v>22</v>
      </c>
      <c r="B9" s="23"/>
      <c r="C9" s="23"/>
      <c r="D9" s="23">
        <f>+B9-C9</f>
        <v>0</v>
      </c>
      <c r="E9" s="23"/>
      <c r="F9" s="23"/>
      <c r="G9" s="23">
        <f>+E9-F9</f>
        <v>0</v>
      </c>
      <c r="H9" s="23"/>
      <c r="I9" s="23"/>
      <c r="J9" s="23">
        <f>+H9-I9</f>
        <v>0</v>
      </c>
      <c r="K9" s="23"/>
      <c r="L9" s="23"/>
      <c r="M9" s="23">
        <f>+K9-L9</f>
        <v>0</v>
      </c>
      <c r="N9" s="23"/>
      <c r="O9" s="23"/>
      <c r="P9" s="23">
        <f>+N9-O9</f>
        <v>0</v>
      </c>
    </row>
    <row r="10" spans="2:16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18" t="s">
        <v>24</v>
      </c>
      <c r="B11" s="24">
        <f aca="true" t="shared" si="0" ref="B11:J11">+B7-B9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aca="true" t="shared" si="1" ref="K11:P11">+K7-K9</f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</row>
    <row r="12" spans="2:16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18" t="s">
        <v>25</v>
      </c>
      <c r="B13" s="23"/>
      <c r="C13" s="23"/>
      <c r="D13" s="23">
        <f>+B13-C13</f>
        <v>0</v>
      </c>
      <c r="E13" s="23"/>
      <c r="F13" s="23"/>
      <c r="G13" s="23">
        <f>+E13-F13</f>
        <v>0</v>
      </c>
      <c r="H13" s="23"/>
      <c r="I13" s="23"/>
      <c r="J13" s="23">
        <f>+H13-I13</f>
        <v>0</v>
      </c>
      <c r="K13" s="23"/>
      <c r="L13" s="23"/>
      <c r="M13" s="23">
        <f>+K13-L13</f>
        <v>0</v>
      </c>
      <c r="N13" s="23"/>
      <c r="O13" s="23"/>
      <c r="P13" s="23">
        <f>+N13-O13</f>
        <v>0</v>
      </c>
    </row>
    <row r="14" spans="2:16" ht="12.7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2.75">
      <c r="A15" s="18" t="s">
        <v>26</v>
      </c>
      <c r="B15" s="23"/>
      <c r="C15" s="23"/>
      <c r="D15" s="23">
        <f>+B15-C15</f>
        <v>0</v>
      </c>
      <c r="E15" s="23"/>
      <c r="F15" s="23"/>
      <c r="G15" s="23">
        <f>+E15-F15</f>
        <v>0</v>
      </c>
      <c r="H15" s="23"/>
      <c r="I15" s="23"/>
      <c r="J15" s="23">
        <f>+H15-I15</f>
        <v>0</v>
      </c>
      <c r="K15" s="23"/>
      <c r="L15" s="23"/>
      <c r="M15" s="23">
        <f>+K15-L15</f>
        <v>0</v>
      </c>
      <c r="N15" s="23"/>
      <c r="O15" s="23"/>
      <c r="P15" s="23">
        <f>+N15-O15</f>
        <v>0</v>
      </c>
    </row>
    <row r="16" spans="2:16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.75">
      <c r="A17" s="18" t="s">
        <v>27</v>
      </c>
      <c r="B17" s="23"/>
      <c r="C17" s="23"/>
      <c r="D17" s="23">
        <f>+B17-C17</f>
        <v>0</v>
      </c>
      <c r="E17" s="23"/>
      <c r="F17" s="23"/>
      <c r="G17" s="23">
        <f>+E17-F17</f>
        <v>0</v>
      </c>
      <c r="H17" s="23"/>
      <c r="I17" s="23"/>
      <c r="J17" s="23">
        <f>+H17-I17</f>
        <v>0</v>
      </c>
      <c r="K17" s="23"/>
      <c r="L17" s="23"/>
      <c r="M17" s="23">
        <f>+K17-L17</f>
        <v>0</v>
      </c>
      <c r="N17" s="23"/>
      <c r="O17" s="23"/>
      <c r="P17" s="23">
        <f>+N17-O17</f>
        <v>0</v>
      </c>
    </row>
    <row r="18" spans="2:16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18" t="s">
        <v>32</v>
      </c>
      <c r="B19" s="23"/>
      <c r="C19" s="23"/>
      <c r="D19" s="23">
        <f>+B19-C19</f>
        <v>0</v>
      </c>
      <c r="E19" s="23"/>
      <c r="F19" s="23"/>
      <c r="G19" s="23">
        <f>+E19-F19</f>
        <v>0</v>
      </c>
      <c r="H19" s="23"/>
      <c r="I19" s="23"/>
      <c r="J19" s="23">
        <f>+H19-I19</f>
        <v>0</v>
      </c>
      <c r="K19" s="23"/>
      <c r="L19" s="23"/>
      <c r="M19" s="23">
        <f>+K19-L19</f>
        <v>0</v>
      </c>
      <c r="N19" s="23"/>
      <c r="O19" s="23"/>
      <c r="P19" s="23">
        <f>+N19-O19</f>
        <v>0</v>
      </c>
    </row>
    <row r="20" spans="2:1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18" t="s">
        <v>28</v>
      </c>
      <c r="B21" s="23"/>
      <c r="C21" s="23"/>
      <c r="D21" s="23">
        <f>+B21-C21</f>
        <v>0</v>
      </c>
      <c r="E21" s="23"/>
      <c r="F21" s="23"/>
      <c r="G21" s="23">
        <f>+E21-F21</f>
        <v>0</v>
      </c>
      <c r="H21" s="23"/>
      <c r="I21" s="23"/>
      <c r="J21" s="23">
        <f>+H21-I21</f>
        <v>0</v>
      </c>
      <c r="K21" s="23"/>
      <c r="L21" s="23"/>
      <c r="M21" s="23">
        <f>+K21-L21</f>
        <v>0</v>
      </c>
      <c r="N21" s="23"/>
      <c r="O21" s="23"/>
      <c r="P21" s="23">
        <f>+N21-O21</f>
        <v>0</v>
      </c>
    </row>
    <row r="22" spans="2:1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18" t="s">
        <v>29</v>
      </c>
      <c r="B23" s="24">
        <f aca="true" t="shared" si="2" ref="B23:J23">+B13-B15-B17-B19-B21</f>
        <v>0</v>
      </c>
      <c r="C23" s="24">
        <f t="shared" si="2"/>
        <v>0</v>
      </c>
      <c r="D23" s="25">
        <f t="shared" si="2"/>
        <v>0</v>
      </c>
      <c r="E23" s="24">
        <f t="shared" si="2"/>
        <v>0</v>
      </c>
      <c r="F23" s="24">
        <f t="shared" si="2"/>
        <v>0</v>
      </c>
      <c r="G23" s="25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aca="true" t="shared" si="3" ref="K23:P23">+K13-K15-K17-K19-K21</f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</row>
    <row r="27" spans="1:3" ht="12.75">
      <c r="A27" s="189" t="s">
        <v>34</v>
      </c>
      <c r="B27" s="190"/>
      <c r="C27" s="190"/>
    </row>
    <row r="29" spans="1:13" ht="12.75">
      <c r="A29" s="27" t="s">
        <v>31</v>
      </c>
      <c r="B29" s="186" t="str">
        <f>+B4</f>
        <v>CONTROLES Y AUTOMATIZACIONES S.A.</v>
      </c>
      <c r="C29" s="186"/>
      <c r="D29" s="186"/>
      <c r="E29" s="186" t="e">
        <f>+E4</f>
        <v>#REF!</v>
      </c>
      <c r="F29" s="186"/>
      <c r="G29" s="186"/>
      <c r="H29" s="186" t="e">
        <f>+H4</f>
        <v>#REF!</v>
      </c>
      <c r="I29" s="186"/>
      <c r="J29" s="186"/>
      <c r="K29" s="186">
        <f>+K4</f>
        <v>0</v>
      </c>
      <c r="L29" s="186"/>
      <c r="M29" s="186"/>
    </row>
    <row r="30" spans="1:13" ht="12.75">
      <c r="A30" s="1"/>
      <c r="B30" s="17" t="s">
        <v>19</v>
      </c>
      <c r="C30" s="17" t="s">
        <v>20</v>
      </c>
      <c r="D30" s="17" t="s">
        <v>21</v>
      </c>
      <c r="E30" s="17" t="s">
        <v>19</v>
      </c>
      <c r="F30" s="17" t="s">
        <v>20</v>
      </c>
      <c r="G30" s="17" t="s">
        <v>21</v>
      </c>
      <c r="H30" s="17" t="s">
        <v>19</v>
      </c>
      <c r="I30" s="17" t="s">
        <v>20</v>
      </c>
      <c r="J30" s="17" t="s">
        <v>21</v>
      </c>
      <c r="K30" s="17" t="s">
        <v>19</v>
      </c>
      <c r="L30" s="17" t="s">
        <v>20</v>
      </c>
      <c r="M30" s="17" t="s">
        <v>21</v>
      </c>
    </row>
    <row r="32" spans="1:13" ht="12.75">
      <c r="A32" s="18" t="s">
        <v>23</v>
      </c>
      <c r="B32" s="23">
        <v>338540</v>
      </c>
      <c r="C32" s="23">
        <v>338540</v>
      </c>
      <c r="D32" s="23">
        <f>+B32-C32</f>
        <v>0</v>
      </c>
      <c r="E32" s="23"/>
      <c r="F32" s="23">
        <v>2236097</v>
      </c>
      <c r="G32" s="23">
        <f>+E32-F32</f>
        <v>-2236097</v>
      </c>
      <c r="H32" s="23">
        <v>3913626</v>
      </c>
      <c r="I32" s="23">
        <v>3439435</v>
      </c>
      <c r="J32" s="23">
        <f>+H32-I32</f>
        <v>474191</v>
      </c>
      <c r="K32" s="23">
        <v>3913626</v>
      </c>
      <c r="L32" s="23">
        <v>3439435</v>
      </c>
      <c r="M32" s="23">
        <f>+K32-L32</f>
        <v>474191</v>
      </c>
    </row>
    <row r="33" spans="2:13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18" t="s">
        <v>22</v>
      </c>
      <c r="B34" s="23">
        <v>177384</v>
      </c>
      <c r="C34" s="23">
        <v>177384</v>
      </c>
      <c r="D34" s="23">
        <f>+B34-C34</f>
        <v>0</v>
      </c>
      <c r="E34" s="23"/>
      <c r="F34" s="23">
        <v>1443897</v>
      </c>
      <c r="G34" s="23">
        <f>+E34-F34</f>
        <v>-1443897</v>
      </c>
      <c r="H34" s="23">
        <v>1966502</v>
      </c>
      <c r="I34" s="23">
        <v>1966503</v>
      </c>
      <c r="J34" s="23">
        <f>+H34-I34</f>
        <v>-1</v>
      </c>
      <c r="K34" s="23">
        <v>1966502</v>
      </c>
      <c r="L34" s="23">
        <v>1966503</v>
      </c>
      <c r="M34" s="23">
        <f>+K34-L34</f>
        <v>-1</v>
      </c>
    </row>
    <row r="35" spans="2:13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18" t="s">
        <v>24</v>
      </c>
      <c r="B36" s="24">
        <f aca="true" t="shared" si="4" ref="B36:J36">+B32-B34</f>
        <v>161156</v>
      </c>
      <c r="C36" s="24">
        <f t="shared" si="4"/>
        <v>161156</v>
      </c>
      <c r="D36" s="24">
        <f t="shared" si="4"/>
        <v>0</v>
      </c>
      <c r="E36" s="24">
        <f t="shared" si="4"/>
        <v>0</v>
      </c>
      <c r="F36" s="24">
        <f t="shared" si="4"/>
        <v>792200</v>
      </c>
      <c r="G36" s="24">
        <f t="shared" si="4"/>
        <v>-792200</v>
      </c>
      <c r="H36" s="26">
        <f t="shared" si="4"/>
        <v>1947124</v>
      </c>
      <c r="I36" s="26">
        <f t="shared" si="4"/>
        <v>1472932</v>
      </c>
      <c r="J36" s="26">
        <f t="shared" si="4"/>
        <v>474192</v>
      </c>
      <c r="K36" s="26">
        <f>+K32-K34</f>
        <v>1947124</v>
      </c>
      <c r="L36" s="26">
        <f>+L32-L34</f>
        <v>1472932</v>
      </c>
      <c r="M36" s="26">
        <f>+M32-M34</f>
        <v>474192</v>
      </c>
    </row>
    <row r="37" spans="2:13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18" t="s">
        <v>25</v>
      </c>
      <c r="B38" s="23">
        <f>3497+174390</f>
        <v>177887</v>
      </c>
      <c r="C38" s="23">
        <v>177887</v>
      </c>
      <c r="D38" s="23">
        <f>+B38-C38</f>
        <v>0</v>
      </c>
      <c r="E38" s="23">
        <v>5286525</v>
      </c>
      <c r="F38" s="23">
        <v>5295374</v>
      </c>
      <c r="G38" s="23">
        <f>+E38-F38</f>
        <v>-8849</v>
      </c>
      <c r="H38" s="23">
        <f>2270798+344789</f>
        <v>2615587</v>
      </c>
      <c r="I38" s="23">
        <f>2270798+344789</f>
        <v>2615587</v>
      </c>
      <c r="J38" s="23">
        <f>+H38-I38</f>
        <v>0</v>
      </c>
      <c r="K38" s="23">
        <f>2270798+344789</f>
        <v>2615587</v>
      </c>
      <c r="L38" s="23">
        <f>2270798+344789</f>
        <v>2615587</v>
      </c>
      <c r="M38" s="23">
        <f>+K38-L38</f>
        <v>0</v>
      </c>
    </row>
    <row r="39" spans="2:13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18" t="s">
        <v>26</v>
      </c>
      <c r="B40" s="23"/>
      <c r="C40" s="23">
        <v>0</v>
      </c>
      <c r="D40" s="23">
        <f>+B40-C40</f>
        <v>0</v>
      </c>
      <c r="E40" s="23">
        <v>3389864</v>
      </c>
      <c r="F40" s="23">
        <v>3389864</v>
      </c>
      <c r="G40" s="23">
        <f>+E40-F40</f>
        <v>0</v>
      </c>
      <c r="H40" s="23"/>
      <c r="I40" s="23">
        <v>0</v>
      </c>
      <c r="J40" s="23">
        <f>+H40-I40</f>
        <v>0</v>
      </c>
      <c r="K40" s="23"/>
      <c r="L40" s="23">
        <v>0</v>
      </c>
      <c r="M40" s="23">
        <f>+K40-L40</f>
        <v>0</v>
      </c>
    </row>
    <row r="41" spans="2:13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18" t="s">
        <v>27</v>
      </c>
      <c r="B42" s="23">
        <f>158173+3499</f>
        <v>161672</v>
      </c>
      <c r="C42" s="23">
        <f>152061+3494</f>
        <v>155555</v>
      </c>
      <c r="D42" s="23">
        <f>+B42-C42</f>
        <v>6117</v>
      </c>
      <c r="E42" s="23">
        <v>1818615</v>
      </c>
      <c r="F42" s="23">
        <f>1150575+146851</f>
        <v>1297426</v>
      </c>
      <c r="G42" s="23">
        <f>+E42-F42</f>
        <v>521189</v>
      </c>
      <c r="H42" s="23">
        <f>1533588+58314+282281</f>
        <v>1874183</v>
      </c>
      <c r="I42" s="23">
        <f>1533588+58314+282281</f>
        <v>1874183</v>
      </c>
      <c r="J42" s="23">
        <f>+H42-I42</f>
        <v>0</v>
      </c>
      <c r="K42" s="23">
        <f>1533588+58314+282281</f>
        <v>1874183</v>
      </c>
      <c r="L42" s="23">
        <f>1533588+58314+282281</f>
        <v>1874183</v>
      </c>
      <c r="M42" s="23">
        <f>+K42-L42</f>
        <v>0</v>
      </c>
    </row>
    <row r="43" spans="2:13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18" t="s">
        <v>32</v>
      </c>
      <c r="B44" s="23"/>
      <c r="C44" s="23"/>
      <c r="D44" s="23">
        <f>+B44-C44</f>
        <v>0</v>
      </c>
      <c r="E44" s="23"/>
      <c r="F44" s="23">
        <f>5943+8849</f>
        <v>14792</v>
      </c>
      <c r="G44" s="23">
        <f>+E44-F44</f>
        <v>-14792</v>
      </c>
      <c r="H44" s="23"/>
      <c r="I44" s="23"/>
      <c r="J44" s="23">
        <f>+H44-I44</f>
        <v>0</v>
      </c>
      <c r="K44" s="23"/>
      <c r="L44" s="23"/>
      <c r="M44" s="23">
        <f>+K44-L44</f>
        <v>0</v>
      </c>
    </row>
    <row r="45" spans="2:13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18" t="s">
        <v>28</v>
      </c>
      <c r="B46" s="23">
        <v>15086</v>
      </c>
      <c r="C46" s="23">
        <f>1951+5619</f>
        <v>7570</v>
      </c>
      <c r="D46" s="23">
        <f>+B46-C46</f>
        <v>7516</v>
      </c>
      <c r="E46" s="23"/>
      <c r="F46" s="23">
        <v>202738</v>
      </c>
      <c r="G46" s="23">
        <f>+E46-F46</f>
        <v>-202738</v>
      </c>
      <c r="H46" s="23">
        <f>136270+132488+4747</f>
        <v>273505</v>
      </c>
      <c r="I46" s="23">
        <f>136270+132488+4747</f>
        <v>273505</v>
      </c>
      <c r="J46" s="23">
        <f>+H46-I46</f>
        <v>0</v>
      </c>
      <c r="K46" s="23">
        <f>136270+132488+4747</f>
        <v>273505</v>
      </c>
      <c r="L46" s="23">
        <f>136270+132488+4747</f>
        <v>273505</v>
      </c>
      <c r="M46" s="23">
        <f>+K46-L46</f>
        <v>0</v>
      </c>
    </row>
    <row r="47" spans="2:13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18" t="s">
        <v>29</v>
      </c>
      <c r="B48" s="24">
        <f aca="true" t="shared" si="5" ref="B48:J48">+B38-B40-B42-B44-B46</f>
        <v>1129</v>
      </c>
      <c r="C48" s="24">
        <f t="shared" si="5"/>
        <v>14762</v>
      </c>
      <c r="D48" s="25">
        <f t="shared" si="5"/>
        <v>-13633</v>
      </c>
      <c r="E48" s="24">
        <f t="shared" si="5"/>
        <v>78046</v>
      </c>
      <c r="F48" s="24">
        <f t="shared" si="5"/>
        <v>390554</v>
      </c>
      <c r="G48" s="24">
        <f t="shared" si="5"/>
        <v>-312508</v>
      </c>
      <c r="H48" s="24">
        <f t="shared" si="5"/>
        <v>467899</v>
      </c>
      <c r="I48" s="24">
        <f t="shared" si="5"/>
        <v>467899</v>
      </c>
      <c r="J48" s="25">
        <f t="shared" si="5"/>
        <v>0</v>
      </c>
      <c r="K48" s="24">
        <f>+K38-K40-K42-K44-K46</f>
        <v>467899</v>
      </c>
      <c r="L48" s="24">
        <f>+L38-L40-L42-L44-L46</f>
        <v>467899</v>
      </c>
      <c r="M48" s="25">
        <f>+M38-M40-M42-M44-M46</f>
        <v>0</v>
      </c>
    </row>
    <row r="49" ht="12.75">
      <c r="D49" s="21" t="s">
        <v>33</v>
      </c>
    </row>
  </sheetData>
  <sheetProtection/>
  <mergeCells count="12">
    <mergeCell ref="K29:M29"/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pvicerrec11</cp:lastModifiedBy>
  <cp:lastPrinted>2008-12-11T13:39:35Z</cp:lastPrinted>
  <dcterms:created xsi:type="dcterms:W3CDTF">2008-02-21T13:10:19Z</dcterms:created>
  <dcterms:modified xsi:type="dcterms:W3CDTF">2008-12-15T18:59:02Z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