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VERIFICACION DE LOS D. FINANCIE" sheetId="1" r:id="rId1"/>
    <sheet name="EVALUACIÓN FINANCIERA" sheetId="2" r:id="rId2"/>
    <sheet name="CONCILIACIONES" sheetId="3" state="hidden" r:id="rId3"/>
  </sheets>
  <definedNames>
    <definedName name="_xlnm.Print_Area" localSheetId="1">'EVALUACIÓN FINANCIERA'!$D$10:$J$23</definedName>
    <definedName name="_xlnm.Print_Area" localSheetId="0">'VERIFICACION DE LOS D. FINANCIE'!$C$9:$H$18</definedName>
    <definedName name="_xlnm.Print_Titles" localSheetId="1">'EVALUACIÓN FINANCIERA'!$B:$C,'EVALUACIÓN FINANCIERA'!$5:$14</definedName>
    <definedName name="_xlnm.Print_Titles" localSheetId="0">'VERIFICACION DE LOS D. FINANCIE'!$B:$B,'VERIFICACION DE LOS D. FINANCIE'!$5:$8</definedName>
  </definedNames>
  <calcPr fullCalcOnLoad="1"/>
</workbook>
</file>

<file path=xl/sharedStrings.xml><?xml version="1.0" encoding="utf-8"?>
<sst xmlns="http://schemas.openxmlformats.org/spreadsheetml/2006/main" count="115" uniqueCount="63">
  <si>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</si>
  <si>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</si>
  <si>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</si>
  <si>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</si>
  <si>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</si>
  <si>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</si>
  <si>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</si>
  <si>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CERTIFICADO ANTECEDENTES DISCIPLINARIOS DEL CONTADOR Y DEL REVISOR FISCAL (ó CONTADOR INDEPENDIENTE QUE DICTAMINA O AUDITA LOS ESTADOS FINANCIEROS) (documento subsanable)</t>
  </si>
  <si>
    <t>RESULTADO</t>
  </si>
  <si>
    <t>FACTORES</t>
  </si>
  <si>
    <t>CALIFICACIÓN</t>
  </si>
  <si>
    <t>% DE PARTICIPACION</t>
  </si>
  <si>
    <t>NO APLICA</t>
  </si>
  <si>
    <t>item</t>
  </si>
  <si>
    <t>RELACIÓN PATRIMONIAL &lt;=1.5 (PO/ PT)</t>
  </si>
  <si>
    <t>PASIVO TOTAL</t>
  </si>
  <si>
    <t>ACTIVO TOTAL</t>
  </si>
  <si>
    <t>ACTIVO CORRIENTE</t>
  </si>
  <si>
    <t>PASIVO CORRIENTE</t>
  </si>
  <si>
    <t>PRESUPUESTO OFICIAL</t>
  </si>
  <si>
    <t>PATRIMONIO TOTAL</t>
  </si>
  <si>
    <t>VALOR PRESUPUESTO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</si>
  <si>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</si>
  <si>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</si>
  <si>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</si>
  <si>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</si>
  <si>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</si>
  <si>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</si>
  <si>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</si>
  <si>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</si>
  <si>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</si>
  <si>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</si>
  <si>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</si>
  <si>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</si>
  <si>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</si>
  <si>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</si>
  <si>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</si>
  <si>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</si>
  <si>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</si>
  <si>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</si>
  <si>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r>
      <t>DECLARACIÓN DE RENTA</t>
    </r>
    <r>
      <rPr>
        <sz val="10"/>
        <rFont val="Arial Narrow"/>
        <family val="2"/>
      </rPr>
      <t xml:space="preserve"> (documento subsanable)</t>
    </r>
  </si>
  <si>
    <t>ENDEUDAMIENTO &lt;=70 % (PASIVO TOTAL / ACTIVO TOTAL )*100</t>
  </si>
  <si>
    <t>RAZON CORRIENTE &gt;= 1.3 (AC/PC)</t>
  </si>
  <si>
    <t>FOLIO 46</t>
  </si>
  <si>
    <t>NO CUMPLE</t>
  </si>
  <si>
    <t>EVALUACIÓN FINANCIERA: CONVOCATORIA PUBLICA Nº 018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</si>
  <si>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PRESTACION DEL SERVICIO DE MANTENIMIENTO PREVENTIVO Y CORRECTIVO DE EQUIPOS DE OFICINA Y AUDIOVISUALES DE LA UNIVERSIDAD</t>
    </r>
  </si>
  <si>
    <t xml:space="preserve">Balance General y Estado de Resultados comparativos, con notas explicativas, con corte a 31 de diciembre de 2007 (documento subsanable) </t>
  </si>
  <si>
    <t>SELCOMP INGENIERIA LTDA.</t>
  </si>
  <si>
    <t>CONSORCIO FELSAM</t>
  </si>
  <si>
    <t>FELIZZOLA INGENIERIA LTDA.</t>
  </si>
  <si>
    <t>SAMCOMPUTER LTDA.</t>
  </si>
  <si>
    <t>FOLIO 28 A FOLIO 41</t>
  </si>
  <si>
    <t>FOLIO 44 Y FOLIO  45</t>
  </si>
  <si>
    <t>FOLIO 42 Y FOLIO 43</t>
  </si>
  <si>
    <t>FOLIOS 57, 58, 61, 62, 65, 67, 68, 69, 70</t>
  </si>
  <si>
    <t>FOLIO 72</t>
  </si>
  <si>
    <t>N/A</t>
  </si>
  <si>
    <t>FOLIO 78, 79, 80 Y 81</t>
  </si>
  <si>
    <t>FOLIOS 59, 60, 63, 64, 66, 71</t>
  </si>
  <si>
    <t>FOLIO 73</t>
  </si>
  <si>
    <t>FOLIO 74, 75, 76 Y 77</t>
  </si>
  <si>
    <t>CAPITAL DE TRABAJO &gt;=30% del presupuesto oficial. ((AC-PC)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</si>
</sst>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.##0"/>
    <numFmt numFmtId="201" formatCode="#.##0.00"/>
    <numFmt numFmtId="202" formatCode="0.000"/>
    <numFmt numFmtId="203" formatCode="0.0"/>
    <numFmt numFmtId="204" formatCode="_ * #,##0.0_ ;_ * \-#,##0.0_ ;_ * &quot;-&quot;??_ ;_ @_ "/>
    <numFmt numFmtId="205" formatCode="_ * #,##0_ ;_ * \-#,##0_ ;_ * &quot;-&quot;??_ ;_ @_ "/>
  </numFmts>
  <fonts count="3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0" xfId="45" applyAlignment="1" applyProtection="1">
      <alignment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justify" wrapText="1"/>
    </xf>
    <xf numFmtId="0" fontId="7" fillId="0" borderId="17" xfId="0" applyFont="1" applyBorder="1" applyAlignment="1">
      <alignment horizontal="justify" wrapText="1"/>
    </xf>
    <xf numFmtId="0" fontId="7" fillId="0" borderId="16" xfId="0" applyFont="1" applyBorder="1" applyAlignment="1">
      <alignment horizontal="justify" wrapText="1"/>
    </xf>
    <xf numFmtId="0" fontId="6" fillId="0" borderId="17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0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23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vertical="center"/>
    </xf>
    <xf numFmtId="0" fontId="11" fillId="0" borderId="31" xfId="0" applyFont="1" applyBorder="1" applyAlignment="1">
      <alignment horizontal="justify" vertical="top" wrapText="1"/>
    </xf>
    <xf numFmtId="0" fontId="11" fillId="0" borderId="32" xfId="0" applyFont="1" applyBorder="1" applyAlignment="1">
      <alignment horizontal="justify" vertical="center"/>
    </xf>
    <xf numFmtId="0" fontId="12" fillId="0" borderId="33" xfId="0" applyFont="1" applyBorder="1" applyAlignment="1">
      <alignment horizontal="justify" vertical="center"/>
    </xf>
    <xf numFmtId="3" fontId="1" fillId="0" borderId="0" xfId="0" applyNumberFormat="1" applyFont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" fillId="0" borderId="39" xfId="0" applyFont="1" applyFill="1" applyBorder="1" applyAlignment="1" applyProtection="1">
      <alignment vertical="center" wrapText="1"/>
      <protection/>
    </xf>
    <xf numFmtId="0" fontId="1" fillId="0" borderId="39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205" fontId="1" fillId="0" borderId="0" xfId="48" applyNumberFormat="1" applyFont="1" applyAlignment="1">
      <alignment wrapText="1"/>
    </xf>
    <xf numFmtId="0" fontId="30" fillId="0" borderId="2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3" fontId="6" fillId="0" borderId="22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16" borderId="15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8" fillId="16" borderId="42" xfId="0" applyFont="1" applyFill="1" applyBorder="1" applyAlignment="1">
      <alignment horizontal="center" vertical="center"/>
    </xf>
    <xf numFmtId="0" fontId="1" fillId="22" borderId="43" xfId="0" applyFont="1" applyFill="1" applyBorder="1" applyAlignment="1" applyProtection="1">
      <alignment horizontal="center" vertical="center" wrapText="1"/>
      <protection/>
    </xf>
    <xf numFmtId="0" fontId="1" fillId="22" borderId="44" xfId="0" applyFont="1" applyFill="1" applyBorder="1" applyAlignment="1" applyProtection="1">
      <alignment horizontal="center" vertical="center" wrapText="1"/>
      <protection/>
    </xf>
    <xf numFmtId="0" fontId="8" fillId="16" borderId="2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8" fillId="16" borderId="43" xfId="0" applyFont="1" applyFill="1" applyBorder="1" applyAlignment="1">
      <alignment horizontal="center" vertical="center"/>
    </xf>
    <xf numFmtId="0" fontId="8" fillId="16" borderId="47" xfId="0" applyFont="1" applyFill="1" applyBorder="1" applyAlignment="1">
      <alignment horizontal="center" vertical="center"/>
    </xf>
    <xf numFmtId="0" fontId="8" fillId="16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21" borderId="46" xfId="0" applyFont="1" applyFill="1" applyBorder="1" applyAlignment="1">
      <alignment horizontal="center" vertical="center" wrapText="1"/>
    </xf>
    <xf numFmtId="0" fontId="1" fillId="21" borderId="30" xfId="0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wrapText="1"/>
    </xf>
    <xf numFmtId="0" fontId="0" fillId="21" borderId="36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30" xfId="0" applyFont="1" applyBorder="1" applyAlignment="1">
      <alignment wrapText="1"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8" fillId="25" borderId="43" xfId="0" applyFont="1" applyFill="1" applyBorder="1" applyAlignment="1">
      <alignment horizontal="center" vertical="center"/>
    </xf>
    <xf numFmtId="0" fontId="31" fillId="25" borderId="47" xfId="0" applyFont="1" applyFill="1" applyBorder="1" applyAlignment="1">
      <alignment horizontal="center" vertical="center"/>
    </xf>
    <xf numFmtId="0" fontId="31" fillId="25" borderId="4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0" fontId="0" fillId="0" borderId="41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/>
    </xf>
    <xf numFmtId="0" fontId="0" fillId="0" borderId="46" xfId="0" applyBorder="1" applyAlignment="1">
      <alignment horizontal="justify" vertical="center"/>
    </xf>
    <xf numFmtId="0" fontId="0" fillId="0" borderId="51" xfId="0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8" fillId="25" borderId="43" xfId="0" applyFont="1" applyFill="1" applyBorder="1" applyAlignment="1">
      <alignment horizontal="center" vertical="center" wrapText="1"/>
    </xf>
    <xf numFmtId="0" fontId="8" fillId="25" borderId="47" xfId="0" applyFont="1" applyFill="1" applyBorder="1" applyAlignment="1">
      <alignment horizontal="center" vertical="center" wrapText="1"/>
    </xf>
    <xf numFmtId="0" fontId="31" fillId="25" borderId="47" xfId="0" applyFont="1" applyFill="1" applyBorder="1" applyAlignment="1">
      <alignment horizontal="center" vertical="center" wrapText="1"/>
    </xf>
    <xf numFmtId="0" fontId="31" fillId="25" borderId="44" xfId="0" applyFont="1" applyFill="1" applyBorder="1" applyAlignment="1">
      <alignment horizontal="center" vertical="center" wrapText="1"/>
    </xf>
    <xf numFmtId="0" fontId="1" fillId="22" borderId="46" xfId="0" applyFont="1" applyFill="1" applyBorder="1" applyAlignment="1">
      <alignment horizontal="center" vertical="center" wrapText="1"/>
    </xf>
    <xf numFmtId="0" fontId="0" fillId="22" borderId="30" xfId="0" applyFill="1" applyBorder="1" applyAlignment="1">
      <alignment horizontal="center" wrapText="1"/>
    </xf>
    <xf numFmtId="0" fontId="0" fillId="22" borderId="36" xfId="0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9" xfId="0" applyBorder="1" applyAlignment="1">
      <alignment horizontal="justify" vertical="center"/>
    </xf>
    <xf numFmtId="0" fontId="0" fillId="0" borderId="22" xfId="0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85" zoomScaleNormal="85" zoomScalePageLayoutView="0" workbookViewId="0" topLeftCell="A1">
      <pane xSplit="2" topLeftCell="C1" activePane="topRight" state="frozen"/>
      <selection pane="topLeft" activeCell="H25" sqref="H25"/>
      <selection pane="topRight" activeCell="E10" sqref="E10:H11"/>
    </sheetView>
  </sheetViews>
  <sheetFormatPr defaultColWidth="11.421875" defaultRowHeight="12.75"/>
  <cols>
    <col min="1" max="1" width="10.57421875" style="0" customWidth="1"/>
    <col min="2" max="2" width="43.140625" style="2" customWidth="1"/>
    <col min="3" max="3" width="13.421875" style="0" customWidth="1"/>
    <col min="4" max="4" width="14.28125" style="0" customWidth="1"/>
    <col min="5" max="5" width="11.8515625" style="0" customWidth="1"/>
    <col min="6" max="6" width="13.421875" style="0" customWidth="1"/>
    <col min="7" max="7" width="12.140625" style="0" customWidth="1"/>
    <col min="8" max="8" width="12.57421875" style="0" customWidth="1"/>
  </cols>
  <sheetData>
    <row r="1" ht="12.75">
      <c r="A1" s="8" t="s">
        <v>5</v>
      </c>
    </row>
    <row r="5" spans="2:6" ht="47.25" customHeight="1">
      <c r="B5" s="58" t="s">
        <v>45</v>
      </c>
      <c r="C5" s="58"/>
      <c r="D5" s="58"/>
      <c r="E5" s="60"/>
      <c r="F5" s="60"/>
    </row>
    <row r="6" spans="2:6" ht="51">
      <c r="B6" s="61" t="s">
        <v>46</v>
      </c>
      <c r="C6" s="61"/>
      <c r="D6" s="61"/>
      <c r="E6" s="59"/>
      <c r="F6" s="59"/>
    </row>
    <row r="8" ht="13.5" thickBot="1"/>
    <row r="9" spans="2:8" s="77" customFormat="1" ht="24.75" customHeight="1" thickBot="1">
      <c r="B9" s="78" t="s">
        <v>2</v>
      </c>
      <c r="C9" s="81">
        <v>1</v>
      </c>
      <c r="D9" s="84"/>
      <c r="E9" s="94">
        <v>2</v>
      </c>
      <c r="F9" s="95"/>
      <c r="G9" s="95"/>
      <c r="H9" s="96"/>
    </row>
    <row r="10" spans="2:8" ht="12.75" customHeight="1">
      <c r="B10" s="85" t="s">
        <v>3</v>
      </c>
      <c r="C10" s="88" t="s">
        <v>48</v>
      </c>
      <c r="D10" s="89"/>
      <c r="E10" s="99" t="s">
        <v>49</v>
      </c>
      <c r="F10" s="100"/>
      <c r="G10" s="100"/>
      <c r="H10" s="101"/>
    </row>
    <row r="11" spans="2:8" ht="13.5" thickBot="1">
      <c r="B11" s="86"/>
      <c r="C11" s="90"/>
      <c r="D11" s="91"/>
      <c r="E11" s="102"/>
      <c r="F11" s="103"/>
      <c r="G11" s="103"/>
      <c r="H11" s="104"/>
    </row>
    <row r="12" spans="2:8" ht="25.5" customHeight="1" thickBot="1">
      <c r="B12" s="87"/>
      <c r="C12" s="92"/>
      <c r="D12" s="93"/>
      <c r="E12" s="97" t="s">
        <v>50</v>
      </c>
      <c r="F12" s="98"/>
      <c r="G12" s="97" t="s">
        <v>51</v>
      </c>
      <c r="H12" s="98"/>
    </row>
    <row r="13" spans="2:8" ht="13.5" thickBot="1">
      <c r="B13" s="9" t="s">
        <v>0</v>
      </c>
      <c r="C13" s="6" t="s">
        <v>1</v>
      </c>
      <c r="D13" s="7" t="s">
        <v>23</v>
      </c>
      <c r="E13" s="6" t="s">
        <v>1</v>
      </c>
      <c r="F13" s="7" t="s">
        <v>23</v>
      </c>
      <c r="G13" s="6" t="s">
        <v>1</v>
      </c>
      <c r="H13" s="7" t="s">
        <v>23</v>
      </c>
    </row>
    <row r="14" spans="2:8" ht="51">
      <c r="B14" s="44" t="s">
        <v>47</v>
      </c>
      <c r="C14" s="36" t="s">
        <v>52</v>
      </c>
      <c r="D14" s="71"/>
      <c r="E14" s="36" t="s">
        <v>55</v>
      </c>
      <c r="F14" s="28"/>
      <c r="G14" s="36" t="s">
        <v>59</v>
      </c>
      <c r="H14" s="28"/>
    </row>
    <row r="15" spans="2:8" ht="47.25" customHeight="1">
      <c r="B15" s="45" t="s">
        <v>40</v>
      </c>
      <c r="C15" s="37" t="s">
        <v>43</v>
      </c>
      <c r="D15" s="4"/>
      <c r="E15" s="37" t="s">
        <v>56</v>
      </c>
      <c r="F15" s="4"/>
      <c r="G15" s="37" t="s">
        <v>60</v>
      </c>
      <c r="H15" s="4"/>
    </row>
    <row r="16" spans="2:8" ht="25.5">
      <c r="B16" s="45" t="s">
        <v>6</v>
      </c>
      <c r="C16" s="37" t="s">
        <v>53</v>
      </c>
      <c r="D16" s="26"/>
      <c r="E16" s="37" t="s">
        <v>57</v>
      </c>
      <c r="F16" s="26"/>
      <c r="G16" s="37" t="s">
        <v>57</v>
      </c>
      <c r="H16" s="26"/>
    </row>
    <row r="17" spans="2:8" ht="51.75" thickBot="1">
      <c r="B17" s="43" t="s">
        <v>7</v>
      </c>
      <c r="C17" s="37" t="s">
        <v>54</v>
      </c>
      <c r="D17" s="5"/>
      <c r="E17" s="37" t="s">
        <v>58</v>
      </c>
      <c r="F17" s="5"/>
      <c r="G17" s="37" t="s">
        <v>61</v>
      </c>
      <c r="H17" s="5"/>
    </row>
    <row r="18" spans="2:8" s="66" customFormat="1" ht="24.75" customHeight="1" thickBot="1">
      <c r="B18" s="67" t="s">
        <v>4</v>
      </c>
      <c r="C18" s="82" t="s">
        <v>1</v>
      </c>
      <c r="D18" s="83"/>
      <c r="E18" s="82" t="s">
        <v>1</v>
      </c>
      <c r="F18" s="83"/>
      <c r="G18" s="82" t="str">
        <f>IF(H24=TRUE,"CUMPLE","PENDIENTE")</f>
        <v>CUMPLE</v>
      </c>
      <c r="H18" s="83"/>
    </row>
    <row r="19" s="64" customFormat="1" ht="12.75">
      <c r="B19" s="65"/>
    </row>
    <row r="20" ht="12.75" hidden="1"/>
    <row r="21" ht="12.75" hidden="1"/>
    <row r="22" ht="12.75" hidden="1"/>
    <row r="23" ht="12.75" hidden="1"/>
    <row r="24" spans="4:8" ht="12.75" hidden="1">
      <c r="D24" t="b">
        <f>AND(D14="",D15="",D16="",D17="")</f>
        <v>1</v>
      </c>
      <c r="F24" t="b">
        <f>AND(F14="",F15="",F16="",F17="")</f>
        <v>1</v>
      </c>
      <c r="H24" t="b">
        <f>AND(H14="",H15="",H16="",H17="")</f>
        <v>1</v>
      </c>
    </row>
    <row r="25" ht="12.75" hidden="1"/>
    <row r="26" ht="12.75" hidden="1"/>
    <row r="27" ht="12.75" hidden="1"/>
    <row r="28" ht="12.75" hidden="1"/>
  </sheetData>
  <sheetProtection/>
  <mergeCells count="10">
    <mergeCell ref="B10:B12"/>
    <mergeCell ref="C10:D12"/>
    <mergeCell ref="E9:H9"/>
    <mergeCell ref="E12:F12"/>
    <mergeCell ref="G12:H12"/>
    <mergeCell ref="E10:H11"/>
    <mergeCell ref="E18:F18"/>
    <mergeCell ref="G18:H18"/>
    <mergeCell ref="C18:D18"/>
    <mergeCell ref="C9:D9"/>
  </mergeCells>
  <hyperlinks>
    <hyperlink ref="A1" location="Hoja1!A1" display="VOLVER AL MENU"/>
  </hyperlinks>
  <printOptions/>
  <pageMargins left="0.86" right="0.48" top="1.38" bottom="1" header="0" footer="0"/>
  <pageSetup fitToWidth="3" horizontalDpi="200" verticalDpi="2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85" zoomScaleNormal="85" zoomScalePageLayoutView="0" workbookViewId="0" topLeftCell="A3">
      <pane xSplit="3" topLeftCell="D1" activePane="topRight" state="frozen"/>
      <selection pane="topLeft" activeCell="H25" sqref="H25"/>
      <selection pane="topRight" activeCell="D37" sqref="D37"/>
    </sheetView>
  </sheetViews>
  <sheetFormatPr defaultColWidth="11.421875" defaultRowHeight="12.75"/>
  <cols>
    <col min="1" max="1" width="7.57421875" style="57" customWidth="1"/>
    <col min="2" max="2" width="39.57421875" style="2" customWidth="1"/>
    <col min="3" max="3" width="19.28125" style="2" customWidth="1"/>
    <col min="4" max="4" width="16.7109375" style="2" customWidth="1"/>
    <col min="5" max="10" width="16.140625" style="0" customWidth="1"/>
  </cols>
  <sheetData>
    <row r="1" ht="12.75">
      <c r="A1" s="62" t="s">
        <v>5</v>
      </c>
    </row>
    <row r="4" ht="13.5" thickBot="1"/>
    <row r="5" spans="2:10" ht="54.75" customHeight="1">
      <c r="B5" s="110" t="str">
        <f>+'VERIFICACION DE LOS D. FINANCIE'!B5</f>
        <v>EVALUACIÓN FINANCIERA: CONVOCATORIA PUBLICA Nº 018 DE 2008</v>
      </c>
      <c r="C5" s="111"/>
      <c r="D5" s="38"/>
      <c r="E5" s="38"/>
      <c r="F5" s="38"/>
      <c r="G5" s="39"/>
      <c r="H5" s="39"/>
      <c r="I5" s="40"/>
      <c r="J5" s="41"/>
    </row>
    <row r="6" spans="2:10" ht="76.5" customHeight="1" thickBot="1">
      <c r="B6" s="112" t="str">
        <f>+'VERIFICACION DE LOS D. FINANCIE'!B6</f>
        <v>OBJETO: PRESTACION DEL SERVICIO DE MANTENIMIENTO PREVENTIVO Y CORRECTIVO DE EQUIPOS DE OFICINA Y AUDIOVISUALES DE LA UNIVERSIDAD</v>
      </c>
      <c r="C6" s="113"/>
      <c r="D6" s="42"/>
      <c r="E6" s="116"/>
      <c r="F6" s="117"/>
      <c r="G6" s="118"/>
      <c r="H6" s="118"/>
      <c r="I6" s="118"/>
      <c r="J6" s="119"/>
    </row>
    <row r="8" ht="13.5" thickBot="1"/>
    <row r="9" spans="1:10" s="80" customFormat="1" ht="24.75" customHeight="1" thickBot="1">
      <c r="A9" s="79"/>
      <c r="B9" s="139" t="s">
        <v>2</v>
      </c>
      <c r="C9" s="142"/>
      <c r="D9" s="125">
        <v>1</v>
      </c>
      <c r="E9" s="126"/>
      <c r="F9" s="127"/>
      <c r="G9" s="139">
        <v>2</v>
      </c>
      <c r="H9" s="140"/>
      <c r="I9" s="141"/>
      <c r="J9" s="142"/>
    </row>
    <row r="10" spans="2:10" ht="12.75" customHeight="1">
      <c r="B10" s="88" t="s">
        <v>3</v>
      </c>
      <c r="C10" s="146"/>
      <c r="D10" s="88" t="str">
        <f>+'VERIFICACION DE LOS D. FINANCIE'!C10</f>
        <v>SELCOMP INGENIERIA LTDA.</v>
      </c>
      <c r="E10" s="120"/>
      <c r="F10" s="121"/>
      <c r="G10" s="88" t="str">
        <f>+'VERIFICACION DE LOS D. FINANCIE'!E10</f>
        <v>CONSORCIO FELSAM</v>
      </c>
      <c r="H10" s="120"/>
      <c r="I10" s="120"/>
      <c r="J10" s="121"/>
    </row>
    <row r="11" spans="2:10" ht="12.75">
      <c r="B11" s="90"/>
      <c r="C11" s="147"/>
      <c r="D11" s="90"/>
      <c r="E11" s="122"/>
      <c r="F11" s="123"/>
      <c r="G11" s="47"/>
      <c r="H11" s="50"/>
      <c r="I11" s="50"/>
      <c r="J11" s="51"/>
    </row>
    <row r="12" spans="2:10" ht="39" thickBot="1">
      <c r="B12" s="92"/>
      <c r="C12" s="148"/>
      <c r="D12" s="97"/>
      <c r="E12" s="124"/>
      <c r="F12" s="98"/>
      <c r="G12" s="48" t="str">
        <f>+'VERIFICACION DE LOS D. FINANCIE'!E12</f>
        <v>FELIZZOLA INGENIERIA LTDA.</v>
      </c>
      <c r="H12" s="49" t="str">
        <f>+'VERIFICACION DE LOS D. FINANCIE'!G12</f>
        <v>SAMCOMPUTER LTDA.</v>
      </c>
      <c r="I12" s="52"/>
      <c r="J12" s="53"/>
    </row>
    <row r="13" spans="1:10" s="3" customFormat="1" ht="25.5" customHeight="1" thickBot="1">
      <c r="A13" s="1"/>
      <c r="B13" s="149" t="s">
        <v>11</v>
      </c>
      <c r="C13" s="150"/>
      <c r="D13" s="153" t="s">
        <v>12</v>
      </c>
      <c r="E13" s="154"/>
      <c r="F13" s="150"/>
      <c r="G13" s="72">
        <v>0.4</v>
      </c>
      <c r="H13" s="72">
        <v>0.6</v>
      </c>
      <c r="I13" s="73"/>
      <c r="J13" s="74"/>
    </row>
    <row r="14" spans="2:10" ht="13.5" thickBot="1">
      <c r="B14" s="10" t="s">
        <v>0</v>
      </c>
      <c r="C14" s="16" t="s">
        <v>13</v>
      </c>
      <c r="D14" s="10" t="s">
        <v>9</v>
      </c>
      <c r="E14" s="17" t="s">
        <v>8</v>
      </c>
      <c r="F14" s="18" t="s">
        <v>10</v>
      </c>
      <c r="G14" s="9" t="s">
        <v>9</v>
      </c>
      <c r="H14" s="9" t="s">
        <v>9</v>
      </c>
      <c r="I14" s="54" t="s">
        <v>8</v>
      </c>
      <c r="J14" s="55" t="s">
        <v>10</v>
      </c>
    </row>
    <row r="15" spans="1:10" ht="31.5" customHeight="1">
      <c r="A15" s="63">
        <v>0.7</v>
      </c>
      <c r="B15" s="151" t="s">
        <v>41</v>
      </c>
      <c r="C15" s="11" t="s">
        <v>15</v>
      </c>
      <c r="D15" s="34">
        <v>515199</v>
      </c>
      <c r="E15" s="131">
        <f>+IF(D15="","",D15/D16)</f>
        <v>0.20411042427080497</v>
      </c>
      <c r="F15" s="114" t="str">
        <f>IF(E15&lt;=$A15,"CUMPLE","NO CUMPLE")</f>
        <v>CUMPLE</v>
      </c>
      <c r="G15" s="34">
        <v>2854</v>
      </c>
      <c r="H15" s="76">
        <v>3855</v>
      </c>
      <c r="I15" s="131">
        <f>+IF(G15="","",(((G15*G13)+(H15*H13))/((G16*G13)+(H16*H13))))</f>
        <v>0.09856486632999516</v>
      </c>
      <c r="J15" s="129" t="str">
        <f>IF(I15&lt;=$A15,"CUMPLE","NO CUMPLE")</f>
        <v>CUMPLE</v>
      </c>
    </row>
    <row r="16" spans="2:10" ht="31.5" customHeight="1" thickBot="1">
      <c r="B16" s="134"/>
      <c r="C16" s="12" t="s">
        <v>16</v>
      </c>
      <c r="D16" s="23">
        <v>2524119</v>
      </c>
      <c r="E16" s="132"/>
      <c r="F16" s="115"/>
      <c r="G16" s="23">
        <v>59769</v>
      </c>
      <c r="H16" s="75">
        <v>18569</v>
      </c>
      <c r="I16" s="132"/>
      <c r="J16" s="109"/>
    </row>
    <row r="17" spans="1:10" ht="31.5" customHeight="1">
      <c r="A17" s="63">
        <v>0.3</v>
      </c>
      <c r="B17" s="152" t="s">
        <v>62</v>
      </c>
      <c r="C17" s="13" t="s">
        <v>17</v>
      </c>
      <c r="D17" s="23">
        <v>2216398</v>
      </c>
      <c r="E17" s="130">
        <f>+IF(D17="","",D17-D18)</f>
        <v>1809903</v>
      </c>
      <c r="F17" s="115" t="str">
        <f>+IF(E17&gt;=D$29,"CUMPLE"," NO CUMPLE")</f>
        <v>CUMPLE</v>
      </c>
      <c r="G17" s="23">
        <v>24171</v>
      </c>
      <c r="H17" s="75">
        <v>14071</v>
      </c>
      <c r="I17" s="130">
        <f>+IF(G17="","",(((G17*G13)+(H17*H13))-((G18*G13)+(H18*H13))))</f>
        <v>14656.4</v>
      </c>
      <c r="J17" s="109" t="s">
        <v>44</v>
      </c>
    </row>
    <row r="18" spans="2:10" ht="31.5" customHeight="1" thickBot="1">
      <c r="B18" s="134"/>
      <c r="C18" s="14" t="s">
        <v>18</v>
      </c>
      <c r="D18" s="23">
        <v>406495</v>
      </c>
      <c r="E18" s="130"/>
      <c r="F18" s="115"/>
      <c r="G18" s="23">
        <v>2854</v>
      </c>
      <c r="H18" s="75">
        <v>3855</v>
      </c>
      <c r="I18" s="130"/>
      <c r="J18" s="109"/>
    </row>
    <row r="19" spans="1:10" ht="31.5" customHeight="1">
      <c r="A19" s="57">
        <v>1.3</v>
      </c>
      <c r="B19" s="133" t="s">
        <v>42</v>
      </c>
      <c r="C19" s="13" t="s">
        <v>17</v>
      </c>
      <c r="D19" s="23">
        <v>2216398</v>
      </c>
      <c r="E19" s="137">
        <f>+IF(D19="","",D19/D20)</f>
        <v>5.452460669872938</v>
      </c>
      <c r="F19" s="115" t="str">
        <f>+IF(E19&gt;=1,"CUMPLE","NO CUMPLE")</f>
        <v>CUMPLE</v>
      </c>
      <c r="G19" s="23">
        <f>+G17</f>
        <v>24171</v>
      </c>
      <c r="H19" s="75">
        <f>+H17</f>
        <v>14071</v>
      </c>
      <c r="I19" s="132">
        <f>+IF(G19="","",(((G19*G13)+(H19*H13))/((G20*G13)+(H20*H13))))</f>
        <v>5.24257511723499</v>
      </c>
      <c r="J19" s="109" t="str">
        <f>+IF(I19&gt;=$A19,"CUMPLE","NO CUMPLE")</f>
        <v>CUMPLE</v>
      </c>
    </row>
    <row r="20" spans="2:10" ht="31.5" customHeight="1" thickBot="1">
      <c r="B20" s="134"/>
      <c r="C20" s="14" t="s">
        <v>18</v>
      </c>
      <c r="D20" s="23">
        <v>406495</v>
      </c>
      <c r="E20" s="137"/>
      <c r="F20" s="115"/>
      <c r="G20" s="23">
        <f>+G18</f>
        <v>2854</v>
      </c>
      <c r="H20" s="75">
        <f>+H18</f>
        <v>3855</v>
      </c>
      <c r="I20" s="132"/>
      <c r="J20" s="109"/>
    </row>
    <row r="21" spans="1:10" ht="31.5" customHeight="1">
      <c r="A21" s="57">
        <v>1.5</v>
      </c>
      <c r="B21" s="155" t="s">
        <v>14</v>
      </c>
      <c r="C21" s="15" t="s">
        <v>19</v>
      </c>
      <c r="D21" s="23">
        <v>60000</v>
      </c>
      <c r="E21" s="137">
        <f>+IF(D21="","",D21/D22)</f>
        <v>0.029866808965418715</v>
      </c>
      <c r="F21" s="115" t="str">
        <f>+IF(E21&lt;=$A21,"CUMPLE","NO CUMPLE")</f>
        <v>CUMPLE</v>
      </c>
      <c r="G21" s="23">
        <v>60000</v>
      </c>
      <c r="H21" s="75">
        <v>60000</v>
      </c>
      <c r="I21" s="132">
        <f>+IF(G21="","",(((G21*G13)+(H21*H13))/((G22*G13)+(H22*H13))))</f>
        <v>1.899094764828765</v>
      </c>
      <c r="J21" s="109" t="str">
        <f>+IF(I21&lt;=$A21,"CUMPLE","NO CUMPLE")</f>
        <v>NO CUMPLE</v>
      </c>
    </row>
    <row r="22" spans="2:10" ht="31.5" customHeight="1" thickBot="1">
      <c r="B22" s="134"/>
      <c r="C22" s="14" t="s">
        <v>20</v>
      </c>
      <c r="D22" s="35">
        <v>2008919</v>
      </c>
      <c r="E22" s="138"/>
      <c r="F22" s="135"/>
      <c r="G22" s="35">
        <v>56914</v>
      </c>
      <c r="H22" s="56">
        <f>+H16-H15</f>
        <v>14714</v>
      </c>
      <c r="I22" s="136"/>
      <c r="J22" s="128"/>
    </row>
    <row r="23" spans="2:10" ht="27" customHeight="1" thickBot="1">
      <c r="B23" s="68" t="s">
        <v>4</v>
      </c>
      <c r="C23" s="68"/>
      <c r="D23" s="143" t="str">
        <f>IF(F32=TRUE,"CUMPLE","NO CUMPLE")</f>
        <v>CUMPLE</v>
      </c>
      <c r="E23" s="144"/>
      <c r="F23" s="145"/>
      <c r="G23" s="105" t="str">
        <f>IF(J32=TRUE,"CUMPLE","NO CUMPLE")</f>
        <v>NO CUMPLE</v>
      </c>
      <c r="H23" s="106"/>
      <c r="I23" s="107"/>
      <c r="J23" s="108"/>
    </row>
    <row r="25" spans="2:3" ht="12.75">
      <c r="B25" s="69" t="s">
        <v>21</v>
      </c>
      <c r="C25" s="70">
        <v>60000000</v>
      </c>
    </row>
    <row r="27" spans="4:10" ht="12.75" hidden="1">
      <c r="D27" s="46">
        <f>+C25</f>
        <v>60000000</v>
      </c>
      <c r="F27" s="19"/>
      <c r="G27" s="46" t="e">
        <f>+#REF!</f>
        <v>#REF!</v>
      </c>
      <c r="H27" s="46" t="e">
        <f>+G27</f>
        <v>#REF!</v>
      </c>
      <c r="J27" s="46"/>
    </row>
    <row r="28" spans="2:10" ht="12.75" hidden="1">
      <c r="B28" s="63">
        <f>+A17</f>
        <v>0.3</v>
      </c>
      <c r="D28" s="19">
        <f>+D27*$B$28</f>
        <v>18000000</v>
      </c>
      <c r="F28" s="19"/>
      <c r="G28" s="19" t="e">
        <f>+G27*$B$28</f>
        <v>#REF!</v>
      </c>
      <c r="H28" s="19" t="e">
        <f>+H27*$B$28</f>
        <v>#REF!</v>
      </c>
      <c r="J28" s="19"/>
    </row>
    <row r="29" spans="2:10" ht="12.75" hidden="1">
      <c r="B29" s="57" t="s">
        <v>22</v>
      </c>
      <c r="D29" s="19">
        <f>+D28/1000</f>
        <v>18000</v>
      </c>
      <c r="F29" s="2"/>
      <c r="G29" s="19" t="e">
        <f>+G28/1000</f>
        <v>#REF!</v>
      </c>
      <c r="H29" s="19" t="e">
        <f>+H28/1000</f>
        <v>#REF!</v>
      </c>
      <c r="J29" s="19"/>
    </row>
    <row r="30" ht="12.75" hidden="1"/>
    <row r="31" ht="12.75" hidden="1"/>
    <row r="32" spans="6:10" ht="12.75" hidden="1">
      <c r="F32" t="b">
        <f>AND(F15="CUMPLE",F17="CUMPLE",F19="CUMPLE",F21="CUMPLE")</f>
        <v>1</v>
      </c>
      <c r="J32" t="b">
        <f>AND(J15="CUMPLE",J17="CUMPLE",J19="CUMPLE",J21="CUMPLE")</f>
        <v>0</v>
      </c>
    </row>
    <row r="33" ht="12.75" hidden="1"/>
    <row r="40" spans="3:8" ht="12.75">
      <c r="C40" s="27"/>
      <c r="D40" s="19"/>
      <c r="G40" s="19"/>
      <c r="H40" s="19"/>
    </row>
  </sheetData>
  <sheetProtection/>
  <mergeCells count="33">
    <mergeCell ref="B9:C9"/>
    <mergeCell ref="B21:B22"/>
    <mergeCell ref="D23:F23"/>
    <mergeCell ref="B10:C12"/>
    <mergeCell ref="B13:C13"/>
    <mergeCell ref="B15:B16"/>
    <mergeCell ref="B17:B18"/>
    <mergeCell ref="E15:E16"/>
    <mergeCell ref="D13:F13"/>
    <mergeCell ref="E17:E18"/>
    <mergeCell ref="E21:E22"/>
    <mergeCell ref="F17:F18"/>
    <mergeCell ref="G9:J9"/>
    <mergeCell ref="I19:I20"/>
    <mergeCell ref="B19:B20"/>
    <mergeCell ref="F19:F20"/>
    <mergeCell ref="F21:F22"/>
    <mergeCell ref="I21:I22"/>
    <mergeCell ref="E19:E20"/>
    <mergeCell ref="J15:J16"/>
    <mergeCell ref="I17:I18"/>
    <mergeCell ref="J17:J18"/>
    <mergeCell ref="I15:I16"/>
    <mergeCell ref="G23:J23"/>
    <mergeCell ref="J19:J20"/>
    <mergeCell ref="B5:C5"/>
    <mergeCell ref="B6:C6"/>
    <mergeCell ref="F15:F16"/>
    <mergeCell ref="E6:J6"/>
    <mergeCell ref="D10:F12"/>
    <mergeCell ref="D9:F9"/>
    <mergeCell ref="G10:J10"/>
    <mergeCell ref="J21:J22"/>
  </mergeCells>
  <hyperlinks>
    <hyperlink ref="A1" location="Hoja1!A1" display="VOLVER AL MENU"/>
  </hyperlinks>
  <printOptions/>
  <pageMargins left="0.65" right="0.48" top="1.38" bottom="1" header="0" footer="0"/>
  <pageSetup fitToWidth="3" horizontalDpi="600" verticalDpi="600" orientation="landscape" scale="56" r:id="rId1"/>
  <colBreaks count="1" manualBreakCount="1">
    <brk id="6" min="9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159" t="s">
        <v>39</v>
      </c>
      <c r="B2" s="160"/>
      <c r="C2" s="160"/>
    </row>
    <row r="3" spans="11:16" ht="12.75" customHeight="1">
      <c r="K3" s="157" t="e">
        <f>+'EVALUACIÓN FINANCIERA'!#REF!</f>
        <v>#REF!</v>
      </c>
      <c r="L3" s="158"/>
      <c r="M3" s="158"/>
      <c r="N3" s="158"/>
      <c r="O3" s="158"/>
      <c r="P3" s="158"/>
    </row>
    <row r="4" spans="1:16" s="20" customFormat="1" ht="30" customHeight="1">
      <c r="A4" s="33" t="s">
        <v>35</v>
      </c>
      <c r="B4" s="156" t="str">
        <f>+'EVALUACIÓN FINANCIERA'!D10</f>
        <v>SELCOMP INGENIERIA LTDA.</v>
      </c>
      <c r="C4" s="156"/>
      <c r="D4" s="156"/>
      <c r="E4" s="156" t="e">
        <f>+'EVALUACIÓN FINANCIERA'!#REF!</f>
        <v>#REF!</v>
      </c>
      <c r="F4" s="156"/>
      <c r="G4" s="156"/>
      <c r="H4" s="156" t="str">
        <f>+'EVALUACIÓN FINANCIERA'!G10</f>
        <v>CONSORCIO FELSAM</v>
      </c>
      <c r="I4" s="156"/>
      <c r="J4" s="156"/>
      <c r="K4" s="156"/>
      <c r="L4" s="156"/>
      <c r="M4" s="156"/>
      <c r="N4" s="156" t="e">
        <f>+'EVALUACIÓN FINANCIERA'!#REF!</f>
        <v>#REF!</v>
      </c>
      <c r="O4" s="156"/>
      <c r="P4" s="156"/>
    </row>
    <row r="5" spans="2:16" s="1" customFormat="1" ht="12.75">
      <c r="B5" s="21" t="s">
        <v>24</v>
      </c>
      <c r="C5" s="21" t="s">
        <v>25</v>
      </c>
      <c r="D5" s="21" t="s">
        <v>26</v>
      </c>
      <c r="E5" s="21" t="s">
        <v>24</v>
      </c>
      <c r="F5" s="21" t="s">
        <v>25</v>
      </c>
      <c r="G5" s="21" t="s">
        <v>26</v>
      </c>
      <c r="H5" s="21" t="s">
        <v>24</v>
      </c>
      <c r="I5" s="21" t="s">
        <v>25</v>
      </c>
      <c r="J5" s="21" t="s">
        <v>26</v>
      </c>
      <c r="K5" s="21" t="s">
        <v>24</v>
      </c>
      <c r="L5" s="21" t="s">
        <v>25</v>
      </c>
      <c r="M5" s="21" t="s">
        <v>26</v>
      </c>
      <c r="N5" s="21" t="s">
        <v>24</v>
      </c>
      <c r="O5" s="21" t="s">
        <v>25</v>
      </c>
      <c r="P5" s="21" t="s">
        <v>26</v>
      </c>
    </row>
    <row r="6" ht="12.75">
      <c r="B6" s="24"/>
    </row>
    <row r="7" spans="1:16" ht="12.75">
      <c r="A7" s="22" t="s">
        <v>28</v>
      </c>
      <c r="B7" s="29"/>
      <c r="C7" s="29"/>
      <c r="D7" s="29">
        <f>+B7-C7</f>
        <v>0</v>
      </c>
      <c r="E7" s="29"/>
      <c r="F7" s="29"/>
      <c r="G7" s="29">
        <f>+E7-F7</f>
        <v>0</v>
      </c>
      <c r="H7" s="29"/>
      <c r="I7" s="29"/>
      <c r="J7" s="29">
        <f>+H7-I7</f>
        <v>0</v>
      </c>
      <c r="K7" s="29"/>
      <c r="L7" s="29"/>
      <c r="M7" s="29">
        <f>+K7-L7</f>
        <v>0</v>
      </c>
      <c r="N7" s="29"/>
      <c r="O7" s="29"/>
      <c r="P7" s="29">
        <f>+N7-O7</f>
        <v>0</v>
      </c>
    </row>
    <row r="8" spans="2:16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22" t="s">
        <v>27</v>
      </c>
      <c r="B9" s="29"/>
      <c r="C9" s="29"/>
      <c r="D9" s="29">
        <f>+B9-C9</f>
        <v>0</v>
      </c>
      <c r="E9" s="29"/>
      <c r="F9" s="29"/>
      <c r="G9" s="29">
        <f>+E9-F9</f>
        <v>0</v>
      </c>
      <c r="H9" s="29"/>
      <c r="I9" s="29"/>
      <c r="J9" s="29">
        <f>+H9-I9</f>
        <v>0</v>
      </c>
      <c r="K9" s="29"/>
      <c r="L9" s="29"/>
      <c r="M9" s="29">
        <f>+K9-L9</f>
        <v>0</v>
      </c>
      <c r="N9" s="29"/>
      <c r="O9" s="29"/>
      <c r="P9" s="29">
        <f>+N9-O9</f>
        <v>0</v>
      </c>
    </row>
    <row r="10" spans="2:16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2" t="s">
        <v>29</v>
      </c>
      <c r="B11" s="30">
        <f aca="true" t="shared" si="0" ref="B11:J11">+B7-B9</f>
        <v>0</v>
      </c>
      <c r="C11" s="30">
        <f t="shared" si="0"/>
        <v>0</v>
      </c>
      <c r="D11" s="30">
        <f t="shared" si="0"/>
        <v>0</v>
      </c>
      <c r="E11" s="30">
        <f t="shared" si="0"/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aca="true" t="shared" si="1" ref="K11:P11">+K7-K9</f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30">
        <f t="shared" si="1"/>
        <v>0</v>
      </c>
      <c r="P11" s="30">
        <f t="shared" si="1"/>
        <v>0</v>
      </c>
    </row>
    <row r="12" spans="2:16" ht="12.7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22" t="s">
        <v>30</v>
      </c>
      <c r="B13" s="29"/>
      <c r="C13" s="29"/>
      <c r="D13" s="29">
        <f>+B13-C13</f>
        <v>0</v>
      </c>
      <c r="E13" s="29"/>
      <c r="F13" s="29"/>
      <c r="G13" s="29">
        <f>+E13-F13</f>
        <v>0</v>
      </c>
      <c r="H13" s="29"/>
      <c r="I13" s="29"/>
      <c r="J13" s="29">
        <f>+H13-I13</f>
        <v>0</v>
      </c>
      <c r="K13" s="29"/>
      <c r="L13" s="29"/>
      <c r="M13" s="29">
        <f>+K13-L13</f>
        <v>0</v>
      </c>
      <c r="N13" s="29"/>
      <c r="O13" s="29"/>
      <c r="P13" s="29">
        <f>+N13-O13</f>
        <v>0</v>
      </c>
    </row>
    <row r="14" spans="2:16" ht="12.7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2" t="s">
        <v>31</v>
      </c>
      <c r="B15" s="29"/>
      <c r="C15" s="29"/>
      <c r="D15" s="29">
        <f>+B15-C15</f>
        <v>0</v>
      </c>
      <c r="E15" s="29"/>
      <c r="F15" s="29"/>
      <c r="G15" s="29">
        <f>+E15-F15</f>
        <v>0</v>
      </c>
      <c r="H15" s="29"/>
      <c r="I15" s="29"/>
      <c r="J15" s="29">
        <f>+H15-I15</f>
        <v>0</v>
      </c>
      <c r="K15" s="29"/>
      <c r="L15" s="29"/>
      <c r="M15" s="29">
        <f>+K15-L15</f>
        <v>0</v>
      </c>
      <c r="N15" s="29"/>
      <c r="O15" s="29"/>
      <c r="P15" s="29">
        <f>+N15-O15</f>
        <v>0</v>
      </c>
    </row>
    <row r="16" spans="2:16" ht="12.7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2" t="s">
        <v>32</v>
      </c>
      <c r="B17" s="29"/>
      <c r="C17" s="29"/>
      <c r="D17" s="29">
        <f>+B17-C17</f>
        <v>0</v>
      </c>
      <c r="E17" s="29"/>
      <c r="F17" s="29"/>
      <c r="G17" s="29">
        <f>+E17-F17</f>
        <v>0</v>
      </c>
      <c r="H17" s="29"/>
      <c r="I17" s="29"/>
      <c r="J17" s="29">
        <f>+H17-I17</f>
        <v>0</v>
      </c>
      <c r="K17" s="29"/>
      <c r="L17" s="29"/>
      <c r="M17" s="29">
        <f>+K17-L17</f>
        <v>0</v>
      </c>
      <c r="N17" s="29"/>
      <c r="O17" s="29"/>
      <c r="P17" s="29">
        <f>+N17-O17</f>
        <v>0</v>
      </c>
    </row>
    <row r="18" spans="2:16" ht="12.7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2" t="s">
        <v>37</v>
      </c>
      <c r="B19" s="29"/>
      <c r="C19" s="29"/>
      <c r="D19" s="29">
        <f>+B19-C19</f>
        <v>0</v>
      </c>
      <c r="E19" s="29"/>
      <c r="F19" s="29"/>
      <c r="G19" s="29">
        <f>+E19-F19</f>
        <v>0</v>
      </c>
      <c r="H19" s="29"/>
      <c r="I19" s="29"/>
      <c r="J19" s="29">
        <f>+H19-I19</f>
        <v>0</v>
      </c>
      <c r="K19" s="29"/>
      <c r="L19" s="29"/>
      <c r="M19" s="29">
        <f>+K19-L19</f>
        <v>0</v>
      </c>
      <c r="N19" s="29"/>
      <c r="O19" s="29"/>
      <c r="P19" s="29">
        <f>+N19-O19</f>
        <v>0</v>
      </c>
    </row>
    <row r="20" spans="2:16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2.75">
      <c r="A21" s="22" t="s">
        <v>33</v>
      </c>
      <c r="B21" s="29"/>
      <c r="C21" s="29"/>
      <c r="D21" s="29">
        <f>+B21-C21</f>
        <v>0</v>
      </c>
      <c r="E21" s="29"/>
      <c r="F21" s="29"/>
      <c r="G21" s="29">
        <f>+E21-F21</f>
        <v>0</v>
      </c>
      <c r="H21" s="29"/>
      <c r="I21" s="29"/>
      <c r="J21" s="29">
        <f>+H21-I21</f>
        <v>0</v>
      </c>
      <c r="K21" s="29"/>
      <c r="L21" s="29"/>
      <c r="M21" s="29">
        <f>+K21-L21</f>
        <v>0</v>
      </c>
      <c r="N21" s="29"/>
      <c r="O21" s="29"/>
      <c r="P21" s="29">
        <f>+N21-O21</f>
        <v>0</v>
      </c>
    </row>
    <row r="22" spans="2:16" ht="12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.75">
      <c r="A23" s="22" t="s">
        <v>34</v>
      </c>
      <c r="B23" s="30">
        <f aca="true" t="shared" si="2" ref="B23:J23">+B13-B15-B17-B19-B21</f>
        <v>0</v>
      </c>
      <c r="C23" s="30">
        <f t="shared" si="2"/>
        <v>0</v>
      </c>
      <c r="D23" s="31">
        <f t="shared" si="2"/>
        <v>0</v>
      </c>
      <c r="E23" s="30">
        <f t="shared" si="2"/>
        <v>0</v>
      </c>
      <c r="F23" s="30">
        <f t="shared" si="2"/>
        <v>0</v>
      </c>
      <c r="G23" s="31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aca="true" t="shared" si="3" ref="K23:P23">+K13-K15-K17-K19-K21</f>
        <v>0</v>
      </c>
      <c r="L23" s="30">
        <f t="shared" si="3"/>
        <v>0</v>
      </c>
      <c r="M23" s="30">
        <f t="shared" si="3"/>
        <v>0</v>
      </c>
      <c r="N23" s="30">
        <f t="shared" si="3"/>
        <v>0</v>
      </c>
      <c r="O23" s="30">
        <f t="shared" si="3"/>
        <v>0</v>
      </c>
      <c r="P23" s="30">
        <f t="shared" si="3"/>
        <v>0</v>
      </c>
    </row>
    <row r="27" spans="1:3" ht="12.75">
      <c r="A27" s="159" t="s">
        <v>39</v>
      </c>
      <c r="B27" s="160"/>
      <c r="C27" s="160"/>
    </row>
    <row r="29" spans="1:13" ht="12.75">
      <c r="A29" s="33" t="s">
        <v>36</v>
      </c>
      <c r="B29" s="156" t="str">
        <f>+B4</f>
        <v>SELCOMP INGENIERIA LTDA.</v>
      </c>
      <c r="C29" s="156"/>
      <c r="D29" s="156"/>
      <c r="E29" s="156" t="e">
        <f>+E4</f>
        <v>#REF!</v>
      </c>
      <c r="F29" s="156"/>
      <c r="G29" s="156"/>
      <c r="H29" s="156" t="str">
        <f>+H4</f>
        <v>CONSORCIO FELSAM</v>
      </c>
      <c r="I29" s="156"/>
      <c r="J29" s="156"/>
      <c r="K29" s="156">
        <f>+K4</f>
        <v>0</v>
      </c>
      <c r="L29" s="156"/>
      <c r="M29" s="156"/>
    </row>
    <row r="30" spans="1:13" ht="12.75">
      <c r="A30" s="1"/>
      <c r="B30" s="21" t="s">
        <v>24</v>
      </c>
      <c r="C30" s="21" t="s">
        <v>25</v>
      </c>
      <c r="D30" s="21" t="s">
        <v>26</v>
      </c>
      <c r="E30" s="21" t="s">
        <v>24</v>
      </c>
      <c r="F30" s="21" t="s">
        <v>25</v>
      </c>
      <c r="G30" s="21" t="s">
        <v>26</v>
      </c>
      <c r="H30" s="21" t="s">
        <v>24</v>
      </c>
      <c r="I30" s="21" t="s">
        <v>25</v>
      </c>
      <c r="J30" s="21" t="s">
        <v>26</v>
      </c>
      <c r="K30" s="21" t="s">
        <v>24</v>
      </c>
      <c r="L30" s="21" t="s">
        <v>25</v>
      </c>
      <c r="M30" s="21" t="s">
        <v>26</v>
      </c>
    </row>
    <row r="32" spans="1:13" ht="12.75">
      <c r="A32" s="22" t="s">
        <v>28</v>
      </c>
      <c r="B32" s="29">
        <v>338540</v>
      </c>
      <c r="C32" s="29">
        <v>338540</v>
      </c>
      <c r="D32" s="29">
        <f>+B32-C32</f>
        <v>0</v>
      </c>
      <c r="E32" s="29"/>
      <c r="F32" s="29">
        <v>2236097</v>
      </c>
      <c r="G32" s="29">
        <f>+E32-F32</f>
        <v>-2236097</v>
      </c>
      <c r="H32" s="29">
        <v>3913626</v>
      </c>
      <c r="I32" s="29">
        <v>3439435</v>
      </c>
      <c r="J32" s="29">
        <f>+H32-I32</f>
        <v>474191</v>
      </c>
      <c r="K32" s="29">
        <v>3913626</v>
      </c>
      <c r="L32" s="29">
        <v>3439435</v>
      </c>
      <c r="M32" s="29">
        <f>+K32-L32</f>
        <v>474191</v>
      </c>
    </row>
    <row r="33" spans="2:13" ht="12.7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2" t="s">
        <v>27</v>
      </c>
      <c r="B34" s="29">
        <v>177384</v>
      </c>
      <c r="C34" s="29">
        <v>177384</v>
      </c>
      <c r="D34" s="29">
        <f>+B34-C34</f>
        <v>0</v>
      </c>
      <c r="E34" s="29"/>
      <c r="F34" s="29">
        <v>1443897</v>
      </c>
      <c r="G34" s="29">
        <f>+E34-F34</f>
        <v>-1443897</v>
      </c>
      <c r="H34" s="29">
        <v>1966502</v>
      </c>
      <c r="I34" s="29">
        <v>1966503</v>
      </c>
      <c r="J34" s="29">
        <f>+H34-I34</f>
        <v>-1</v>
      </c>
      <c r="K34" s="29">
        <v>1966502</v>
      </c>
      <c r="L34" s="29">
        <v>1966503</v>
      </c>
      <c r="M34" s="29">
        <f>+K34-L34</f>
        <v>-1</v>
      </c>
    </row>
    <row r="35" spans="2:13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22" t="s">
        <v>29</v>
      </c>
      <c r="B36" s="30">
        <f aca="true" t="shared" si="4" ref="B36:J36">+B32-B34</f>
        <v>161156</v>
      </c>
      <c r="C36" s="30">
        <f t="shared" si="4"/>
        <v>161156</v>
      </c>
      <c r="D36" s="30">
        <f t="shared" si="4"/>
        <v>0</v>
      </c>
      <c r="E36" s="30">
        <f t="shared" si="4"/>
        <v>0</v>
      </c>
      <c r="F36" s="30">
        <f t="shared" si="4"/>
        <v>792200</v>
      </c>
      <c r="G36" s="30">
        <f t="shared" si="4"/>
        <v>-792200</v>
      </c>
      <c r="H36" s="32">
        <f t="shared" si="4"/>
        <v>1947124</v>
      </c>
      <c r="I36" s="32">
        <f t="shared" si="4"/>
        <v>1472932</v>
      </c>
      <c r="J36" s="32">
        <f t="shared" si="4"/>
        <v>474192</v>
      </c>
      <c r="K36" s="32">
        <f>+K32-K34</f>
        <v>1947124</v>
      </c>
      <c r="L36" s="32">
        <f>+L32-L34</f>
        <v>1472932</v>
      </c>
      <c r="M36" s="32">
        <f>+M32-M34</f>
        <v>474192</v>
      </c>
    </row>
    <row r="37" spans="2:13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2.75">
      <c r="A38" s="22" t="s">
        <v>30</v>
      </c>
      <c r="B38" s="29">
        <f>3497+174390</f>
        <v>177887</v>
      </c>
      <c r="C38" s="29">
        <v>177887</v>
      </c>
      <c r="D38" s="29">
        <f>+B38-C38</f>
        <v>0</v>
      </c>
      <c r="E38" s="29">
        <v>5286525</v>
      </c>
      <c r="F38" s="29">
        <v>5295374</v>
      </c>
      <c r="G38" s="29">
        <f>+E38-F38</f>
        <v>-8849</v>
      </c>
      <c r="H38" s="29">
        <f>2270798+344789</f>
        <v>2615587</v>
      </c>
      <c r="I38" s="29">
        <f>2270798+344789</f>
        <v>2615587</v>
      </c>
      <c r="J38" s="29">
        <f>+H38-I38</f>
        <v>0</v>
      </c>
      <c r="K38" s="29">
        <f>2270798+344789</f>
        <v>2615587</v>
      </c>
      <c r="L38" s="29">
        <f>2270798+344789</f>
        <v>2615587</v>
      </c>
      <c r="M38" s="29">
        <f>+K38-L38</f>
        <v>0</v>
      </c>
    </row>
    <row r="39" spans="2:13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2.75">
      <c r="A40" s="22" t="s">
        <v>31</v>
      </c>
      <c r="B40" s="29"/>
      <c r="C40" s="29">
        <v>0</v>
      </c>
      <c r="D40" s="29">
        <f>+B40-C40</f>
        <v>0</v>
      </c>
      <c r="E40" s="29">
        <v>3389864</v>
      </c>
      <c r="F40" s="29">
        <v>3389864</v>
      </c>
      <c r="G40" s="29">
        <f>+E40-F40</f>
        <v>0</v>
      </c>
      <c r="H40" s="29"/>
      <c r="I40" s="29">
        <v>0</v>
      </c>
      <c r="J40" s="29">
        <f>+H40-I40</f>
        <v>0</v>
      </c>
      <c r="K40" s="29"/>
      <c r="L40" s="29">
        <v>0</v>
      </c>
      <c r="M40" s="29">
        <f>+K40-L40</f>
        <v>0</v>
      </c>
    </row>
    <row r="41" spans="2:13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2.75">
      <c r="A42" s="22" t="s">
        <v>32</v>
      </c>
      <c r="B42" s="29">
        <f>158173+3499</f>
        <v>161672</v>
      </c>
      <c r="C42" s="29">
        <f>152061+3494</f>
        <v>155555</v>
      </c>
      <c r="D42" s="29">
        <f>+B42-C42</f>
        <v>6117</v>
      </c>
      <c r="E42" s="29">
        <v>1818615</v>
      </c>
      <c r="F42" s="29">
        <f>1150575+146851</f>
        <v>1297426</v>
      </c>
      <c r="G42" s="29">
        <f>+E42-F42</f>
        <v>521189</v>
      </c>
      <c r="H42" s="29">
        <f>1533588+58314+282281</f>
        <v>1874183</v>
      </c>
      <c r="I42" s="29">
        <f>1533588+58314+282281</f>
        <v>1874183</v>
      </c>
      <c r="J42" s="29">
        <f>+H42-I42</f>
        <v>0</v>
      </c>
      <c r="K42" s="29">
        <f>1533588+58314+282281</f>
        <v>1874183</v>
      </c>
      <c r="L42" s="29">
        <f>1533588+58314+282281</f>
        <v>1874183</v>
      </c>
      <c r="M42" s="29">
        <f>+K42-L42</f>
        <v>0</v>
      </c>
    </row>
    <row r="43" spans="2:13" ht="12.7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2.75">
      <c r="A44" s="22" t="s">
        <v>37</v>
      </c>
      <c r="B44" s="29"/>
      <c r="C44" s="29"/>
      <c r="D44" s="29">
        <f>+B44-C44</f>
        <v>0</v>
      </c>
      <c r="E44" s="29"/>
      <c r="F44" s="29">
        <f>5943+8849</f>
        <v>14792</v>
      </c>
      <c r="G44" s="29">
        <f>+E44-F44</f>
        <v>-14792</v>
      </c>
      <c r="H44" s="29"/>
      <c r="I44" s="29"/>
      <c r="J44" s="29">
        <f>+H44-I44</f>
        <v>0</v>
      </c>
      <c r="K44" s="29"/>
      <c r="L44" s="29"/>
      <c r="M44" s="29">
        <f>+K44-L44</f>
        <v>0</v>
      </c>
    </row>
    <row r="45" spans="2:13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2.75">
      <c r="A46" s="22" t="s">
        <v>33</v>
      </c>
      <c r="B46" s="29">
        <v>15086</v>
      </c>
      <c r="C46" s="29">
        <f>1951+5619</f>
        <v>7570</v>
      </c>
      <c r="D46" s="29">
        <f>+B46-C46</f>
        <v>7516</v>
      </c>
      <c r="E46" s="29"/>
      <c r="F46" s="29">
        <v>202738</v>
      </c>
      <c r="G46" s="29">
        <f>+E46-F46</f>
        <v>-202738</v>
      </c>
      <c r="H46" s="29">
        <f>136270+132488+4747</f>
        <v>273505</v>
      </c>
      <c r="I46" s="29">
        <f>136270+132488+4747</f>
        <v>273505</v>
      </c>
      <c r="J46" s="29">
        <f>+H46-I46</f>
        <v>0</v>
      </c>
      <c r="K46" s="29">
        <f>136270+132488+4747</f>
        <v>273505</v>
      </c>
      <c r="L46" s="29">
        <f>136270+132488+4747</f>
        <v>273505</v>
      </c>
      <c r="M46" s="29">
        <f>+K46-L46</f>
        <v>0</v>
      </c>
    </row>
    <row r="47" spans="2:13" ht="12.7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2.75">
      <c r="A48" s="22" t="s">
        <v>34</v>
      </c>
      <c r="B48" s="30">
        <f aca="true" t="shared" si="5" ref="B48:J48">+B38-B40-B42-B44-B46</f>
        <v>1129</v>
      </c>
      <c r="C48" s="30">
        <f t="shared" si="5"/>
        <v>14762</v>
      </c>
      <c r="D48" s="31">
        <f t="shared" si="5"/>
        <v>-13633</v>
      </c>
      <c r="E48" s="30">
        <f t="shared" si="5"/>
        <v>78046</v>
      </c>
      <c r="F48" s="30">
        <f t="shared" si="5"/>
        <v>390554</v>
      </c>
      <c r="G48" s="30">
        <f t="shared" si="5"/>
        <v>-312508</v>
      </c>
      <c r="H48" s="30">
        <f t="shared" si="5"/>
        <v>467899</v>
      </c>
      <c r="I48" s="30">
        <f t="shared" si="5"/>
        <v>467899</v>
      </c>
      <c r="J48" s="31">
        <f t="shared" si="5"/>
        <v>0</v>
      </c>
      <c r="K48" s="30">
        <f>+K38-K40-K42-K44-K46</f>
        <v>467899</v>
      </c>
      <c r="L48" s="30">
        <f>+L38-L40-L42-L44-L46</f>
        <v>467899</v>
      </c>
      <c r="M48" s="31">
        <f>+M38-M40-M42-M44-M46</f>
        <v>0</v>
      </c>
    </row>
    <row r="49" ht="12.75">
      <c r="D49" s="25" t="s">
        <v>38</v>
      </c>
    </row>
  </sheetData>
  <sheetProtection/>
  <mergeCells count="12">
    <mergeCell ref="A2:C2"/>
    <mergeCell ref="A27:C27"/>
    <mergeCell ref="B29:D29"/>
    <mergeCell ref="E29:G29"/>
    <mergeCell ref="H29:J29"/>
    <mergeCell ref="B4:D4"/>
    <mergeCell ref="N4:P4"/>
    <mergeCell ref="K3:P3"/>
    <mergeCell ref="E4:G4"/>
    <mergeCell ref="H4:J4"/>
    <mergeCell ref="K4:M4"/>
    <mergeCell ref="K29:M2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ipalominoc</cp:lastModifiedBy>
  <cp:lastPrinted>2008-09-29T19:13:47Z</cp:lastPrinted>
  <dcterms:created xsi:type="dcterms:W3CDTF">2008-02-21T13:10:19Z</dcterms:created>
  <dcterms:modified xsi:type="dcterms:W3CDTF">2008-11-07T21:21:53Z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