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VERIFICACION DE LOS D. FINANCIE" sheetId="1" r:id="rId1"/>
    <sheet name="EVALUACIÓN FINANCIERA" sheetId="2" r:id="rId2"/>
    <sheet name="CONCILIACIONES" sheetId="3" state="hidden" r:id="rId3"/>
  </sheets>
  <definedNames>
    <definedName name="_xlnm.Print_Area" localSheetId="1">'EVALUACIÓN FINANCIERA'!$D$10:$F$23</definedName>
    <definedName name="_xlnm.Print_Area" localSheetId="0">'VERIFICACION DE LOS D. FINANCIE'!$C$9:$D$18</definedName>
    <definedName name="_xlnm.Print_Titles" localSheetId="1">'EVALUACIÓN FINANCIERA'!$B:$C,'EVALUACIÓN FINANCIERA'!$5:$14</definedName>
    <definedName name="_xlnm.Print_Titles" localSheetId="0">'VERIFICACION DE LOS D. FINANCIE'!$B:$B,'VERIFICACION DE LOS D. FINANCIE'!$5:$8</definedName>
  </definedNames>
  <calcPr fullCalcOnLoad="1"/>
</workbook>
</file>

<file path=xl/sharedStrings.xml><?xml version="1.0" encoding="utf-8"?>
<sst xmlns="http://schemas.openxmlformats.org/spreadsheetml/2006/main" count="94" uniqueCount="51">
  <si>
    <t>DOCUMENTO</t>
  </si>
  <si>
    <t>CUMPLE</t>
  </si>
  <si>
    <t>No.</t>
  </si>
  <si>
    <t>PROPONENTE</t>
  </si>
  <si>
    <t>RESULTADO GENERAL</t>
  </si>
  <si>
    <t>VOLVER AL MENU</t>
  </si>
  <si>
    <t>CONCILIACIÓN TRIBUTARIA (documento subsanable)</t>
  </si>
  <si>
    <t>CERTIFICADO ANTECEDENTES DISCIPLINARIOS DEL CONTADOR Y DEL REVISOR FISCAL (ó CONTADOR INDEPENDIENTE QUE DICTAMINA O AUDITA LOS ESTADOS FINANCIEROS) (documento subsanable)</t>
  </si>
  <si>
    <t>RESULTADO</t>
  </si>
  <si>
    <t>FACTORES</t>
  </si>
  <si>
    <t>CALIFICACIÓN</t>
  </si>
  <si>
    <t>% DE PARTICIPACION</t>
  </si>
  <si>
    <t>NO APLICA</t>
  </si>
  <si>
    <t>item</t>
  </si>
  <si>
    <t>RELACIÓN PATRIMONIAL &lt;=1.5 (PO/ PT)</t>
  </si>
  <si>
    <t>PASIVO TOTAL</t>
  </si>
  <si>
    <t>ACTIVO TOTAL</t>
  </si>
  <si>
    <t>ACTIVO CORRIENTE</t>
  </si>
  <si>
    <t>PASIVO CORRIENTE</t>
  </si>
  <si>
    <t>PRESUPUESTO OFICIAL</t>
  </si>
  <si>
    <t>PATRIMONIO TOTAL</t>
  </si>
  <si>
    <t>EN MILES</t>
  </si>
  <si>
    <t>PENDIENTE</t>
  </si>
  <si>
    <t>BALANCE</t>
  </si>
  <si>
    <t>RENTA</t>
  </si>
  <si>
    <t>DIF</t>
  </si>
  <si>
    <t>PASIVOS</t>
  </si>
  <si>
    <t>ACTIVOS</t>
  </si>
  <si>
    <t>PATRIMONIO</t>
  </si>
  <si>
    <t>INGRESOS</t>
  </si>
  <si>
    <t>COSTOS</t>
  </si>
  <si>
    <t>GASTOS</t>
  </si>
  <si>
    <t>OTRAS DEDUCCIONES</t>
  </si>
  <si>
    <t>RENTA LIQUIDA</t>
  </si>
  <si>
    <t>AÑO 2005</t>
  </si>
  <si>
    <t>AÑO 2006</t>
  </si>
  <si>
    <t>INVERSION ACTIVOS</t>
  </si>
  <si>
    <t>OK</t>
  </si>
  <si>
    <t>CONCILIACIONES PROPONENTES</t>
  </si>
  <si>
    <t xml:space="preserve">Balance General y Estado de Resultados con  corte a 31 de diciembre de 2007 (documento subsanable) </t>
  </si>
  <si>
    <r>
      <t>DECLARACIÓN DE RENTA</t>
    </r>
    <r>
      <rPr>
        <sz val="10"/>
        <rFont val="Arial Narrow"/>
        <family val="2"/>
      </rPr>
      <t xml:space="preserve"> (documento subsanable)</t>
    </r>
  </si>
  <si>
    <t>ENDEUDAMIENTO &lt;=70 % (PASIVO TOTAL / ACTIVO TOTAL )*100</t>
  </si>
  <si>
    <t>CAPITAL DE TRABAJO &gt;=30% del PO. ((AC-PC)</t>
  </si>
  <si>
    <t>RAZON CORRIENTE &gt;= 1.3 (AC/PC)</t>
  </si>
  <si>
    <t>EVALUACIÓN FINANCIERA: CONVOCATORIA PUBLICA Nº 019 DE 2008</t>
  </si>
  <si>
    <r>
      <rPr>
        <b/>
        <sz val="10"/>
        <rFont val="Arial"/>
        <family val="2"/>
      </rPr>
      <t>OBJETO:</t>
    </r>
    <r>
      <rPr>
        <sz val="10"/>
        <rFont val="Arial"/>
        <family val="2"/>
      </rPr>
      <t xml:space="preserve"> CONTRATAR EL PROCESAMIENTO TECNICO DEL MATERIAL BIBLIOGRAFICO DE LA UNIVERSIDAD DISTRITAL FRANCISCO JOSÉ DE CALDAS, A TRAVES DEL SISTEMA DE INFORMACION BIBLIOGRAFICO IMPLEMENTADO SOBRE ALEPH 500 VERSION 16.02 </t>
    </r>
  </si>
  <si>
    <t>CONSULTORES NACIONALES ASOCIADOS LTDA.</t>
  </si>
  <si>
    <t>FOLIO 27 A FOLIO 40</t>
  </si>
  <si>
    <t xml:space="preserve">FOLIO 46 </t>
  </si>
  <si>
    <t>N/A</t>
  </si>
  <si>
    <t>FOLIO 42 A FOLIO 45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</si>
</sst>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.##0"/>
    <numFmt numFmtId="201" formatCode="#.##0.00"/>
    <numFmt numFmtId="202" formatCode="0.000"/>
    <numFmt numFmtId="203" formatCode="0.0"/>
    <numFmt numFmtId="204" formatCode="_ * #,##0.0_ ;_ * \-#,##0.0_ ;_ * &quot;-&quot;??_ ;_ @_ "/>
    <numFmt numFmtId="205" formatCode="_ * #,##0_ ;_ * \-#,##0_ ;_ * &quot;-&quot;??_ ;_ @_ "/>
  </numFmts>
  <fonts count="3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0" xfId="45" applyAlignment="1" applyProtection="1">
      <alignment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justify" wrapText="1"/>
    </xf>
    <xf numFmtId="0" fontId="7" fillId="0" borderId="17" xfId="0" applyFont="1" applyBorder="1" applyAlignment="1">
      <alignment horizontal="justify" wrapText="1"/>
    </xf>
    <xf numFmtId="0" fontId="7" fillId="0" borderId="16" xfId="0" applyFont="1" applyBorder="1" applyAlignment="1">
      <alignment horizontal="justify" wrapText="1"/>
    </xf>
    <xf numFmtId="0" fontId="6" fillId="0" borderId="17" xfId="0" applyFont="1" applyBorder="1" applyAlignment="1">
      <alignment horizontal="justify" wrapText="1"/>
    </xf>
    <xf numFmtId="0" fontId="6" fillId="0" borderId="18" xfId="0" applyFont="1" applyBorder="1" applyAlignment="1">
      <alignment horizontal="justify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" fontId="0" fillId="0" borderId="0" xfId="0" applyNumberFormat="1" applyFont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3" fontId="6" fillId="0" borderId="23" xfId="0" applyNumberFormat="1" applyFont="1" applyBorder="1" applyAlignment="1">
      <alignment horizontal="right" vertical="center"/>
    </xf>
    <xf numFmtId="0" fontId="0" fillId="0" borderId="0" xfId="0" applyAlignment="1" applyProtection="1">
      <alignment/>
      <protection/>
    </xf>
    <xf numFmtId="0" fontId="0" fillId="24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1" fillId="11" borderId="0" xfId="0" applyNumberFormat="1" applyFont="1" applyFill="1" applyAlignment="1">
      <alignment/>
    </xf>
    <xf numFmtId="0" fontId="1" fillId="0" borderId="0" xfId="0" applyFont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wrapText="1"/>
    </xf>
    <xf numFmtId="0" fontId="2" fillId="0" borderId="28" xfId="0" applyFont="1" applyBorder="1" applyAlignment="1">
      <alignment vertical="center"/>
    </xf>
    <xf numFmtId="0" fontId="11" fillId="0" borderId="29" xfId="0" applyFont="1" applyBorder="1" applyAlignment="1">
      <alignment horizontal="justify" vertical="top" wrapText="1"/>
    </xf>
    <xf numFmtId="0" fontId="11" fillId="0" borderId="30" xfId="0" applyFont="1" applyBorder="1" applyAlignment="1">
      <alignment horizontal="justify" vertical="center"/>
    </xf>
    <xf numFmtId="0" fontId="12" fillId="0" borderId="31" xfId="0" applyFont="1" applyBorder="1" applyAlignment="1">
      <alignment horizontal="justify" vertical="center"/>
    </xf>
    <xf numFmtId="3" fontId="1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 vertical="justify" wrapText="1"/>
    </xf>
    <xf numFmtId="0" fontId="9" fillId="0" borderId="0" xfId="45" applyAlignment="1" applyProtection="1">
      <alignment horizontal="center"/>
      <protection/>
    </xf>
    <xf numFmtId="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 applyProtection="1">
      <alignment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205" fontId="1" fillId="0" borderId="0" xfId="48" applyNumberFormat="1" applyFont="1" applyAlignment="1">
      <alignment wrapText="1"/>
    </xf>
    <xf numFmtId="0" fontId="30" fillId="0" borderId="33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16" borderId="15" xfId="0" applyFont="1" applyFill="1" applyBorder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1" fillId="22" borderId="35" xfId="0" applyFont="1" applyFill="1" applyBorder="1" applyAlignment="1" applyProtection="1">
      <alignment horizontal="center" vertical="center" wrapText="1"/>
      <protection/>
    </xf>
    <xf numFmtId="0" fontId="1" fillId="22" borderId="36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8" fillId="16" borderId="40" xfId="0" applyFont="1" applyFill="1" applyBorder="1" applyAlignment="1">
      <alignment horizontal="center" vertical="center"/>
    </xf>
    <xf numFmtId="0" fontId="8" fillId="16" borderId="2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8" fillId="25" borderId="35" xfId="0" applyFont="1" applyFill="1" applyBorder="1" applyAlignment="1">
      <alignment horizontal="center" vertical="center"/>
    </xf>
    <xf numFmtId="0" fontId="31" fillId="25" borderId="42" xfId="0" applyFont="1" applyFill="1" applyBorder="1" applyAlignment="1">
      <alignment horizontal="center" vertical="center"/>
    </xf>
    <xf numFmtId="0" fontId="31" fillId="25" borderId="3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22" borderId="37" xfId="0" applyFont="1" applyFill="1" applyBorder="1" applyAlignment="1">
      <alignment horizontal="center" vertical="center" wrapText="1"/>
    </xf>
    <xf numFmtId="0" fontId="0" fillId="22" borderId="28" xfId="0" applyFill="1" applyBorder="1" applyAlignment="1">
      <alignment horizontal="center" wrapText="1"/>
    </xf>
    <xf numFmtId="0" fontId="0" fillId="22" borderId="34" xfId="0" applyFill="1" applyBorder="1" applyAlignment="1">
      <alignment horizontal="center" wrapText="1"/>
    </xf>
    <xf numFmtId="0" fontId="8" fillId="25" borderId="35" xfId="0" applyFont="1" applyFill="1" applyBorder="1" applyAlignment="1">
      <alignment horizontal="center" vertical="center" wrapText="1"/>
    </xf>
    <xf numFmtId="0" fontId="31" fillId="25" borderId="3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10" fontId="0" fillId="0" borderId="44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28" xfId="0" applyFont="1" applyBorder="1" applyAlignment="1">
      <alignment horizontal="justify" vertical="center" wrapText="1"/>
    </xf>
    <xf numFmtId="0" fontId="3" fillId="0" borderId="28" xfId="0" applyFont="1" applyBorder="1" applyAlignment="1">
      <alignment wrapText="1"/>
    </xf>
    <xf numFmtId="0" fontId="4" fillId="0" borderId="28" xfId="0" applyFont="1" applyBorder="1" applyAlignment="1">
      <alignment/>
    </xf>
    <xf numFmtId="0" fontId="0" fillId="0" borderId="19" xfId="0" applyBorder="1" applyAlignment="1">
      <alignment horizontal="justify" vertical="center"/>
    </xf>
    <xf numFmtId="0" fontId="0" fillId="0" borderId="37" xfId="0" applyBorder="1" applyAlignment="1">
      <alignment horizontal="justify" vertical="center"/>
    </xf>
    <xf numFmtId="0" fontId="0" fillId="0" borderId="18" xfId="0" applyFont="1" applyBorder="1" applyAlignment="1">
      <alignment horizontal="justify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/>
    </xf>
    <xf numFmtId="0" fontId="7" fillId="0" borderId="19" xfId="0" applyFont="1" applyBorder="1" applyAlignment="1">
      <alignment horizontal="justify" vertical="center"/>
    </xf>
    <xf numFmtId="0" fontId="0" fillId="0" borderId="22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zoomScale="85" zoomScaleNormal="85" zoomScalePageLayoutView="0" workbookViewId="0" topLeftCell="A1">
      <pane xSplit="2" topLeftCell="C1" activePane="topRight" state="frozen"/>
      <selection pane="topLeft" activeCell="H25" sqref="H25"/>
      <selection pane="topRight" activeCell="D17" sqref="D17"/>
    </sheetView>
  </sheetViews>
  <sheetFormatPr defaultColWidth="11.421875" defaultRowHeight="12.75"/>
  <cols>
    <col min="1" max="1" width="10.57421875" style="0" customWidth="1"/>
    <col min="2" max="2" width="43.140625" style="2" customWidth="1"/>
    <col min="3" max="3" width="30.8515625" style="0" customWidth="1"/>
    <col min="4" max="4" width="32.57421875" style="0" customWidth="1"/>
  </cols>
  <sheetData>
    <row r="1" ht="12.75">
      <c r="A1" s="8" t="s">
        <v>5</v>
      </c>
    </row>
    <row r="5" spans="2:4" ht="47.25" customHeight="1">
      <c r="B5" s="44" t="s">
        <v>44</v>
      </c>
      <c r="C5" s="44"/>
      <c r="D5" s="44"/>
    </row>
    <row r="6" spans="2:4" ht="89.25">
      <c r="B6" s="45" t="s">
        <v>45</v>
      </c>
      <c r="C6" s="45"/>
      <c r="D6" s="45"/>
    </row>
    <row r="8" ht="13.5" thickBot="1"/>
    <row r="9" spans="2:4" s="56" customFormat="1" ht="24.75" customHeight="1" thickBot="1">
      <c r="B9" s="57" t="s">
        <v>2</v>
      </c>
      <c r="C9" s="69">
        <v>1</v>
      </c>
      <c r="D9" s="70"/>
    </row>
    <row r="10" spans="2:4" ht="12.75" customHeight="1">
      <c r="B10" s="71" t="s">
        <v>3</v>
      </c>
      <c r="C10" s="64" t="s">
        <v>46</v>
      </c>
      <c r="D10" s="65"/>
    </row>
    <row r="11" spans="2:4" ht="12.75">
      <c r="B11" s="72"/>
      <c r="C11" s="66"/>
      <c r="D11" s="67"/>
    </row>
    <row r="12" spans="2:4" ht="25.5" customHeight="1" thickBot="1">
      <c r="B12" s="73"/>
      <c r="C12" s="68"/>
      <c r="D12" s="59"/>
    </row>
    <row r="13" spans="2:4" ht="13.5" thickBot="1">
      <c r="B13" s="9" t="s">
        <v>0</v>
      </c>
      <c r="C13" s="6" t="s">
        <v>1</v>
      </c>
      <c r="D13" s="7" t="s">
        <v>22</v>
      </c>
    </row>
    <row r="14" spans="2:4" ht="25.5">
      <c r="B14" s="40" t="s">
        <v>39</v>
      </c>
      <c r="C14" s="35" t="s">
        <v>47</v>
      </c>
      <c r="D14" s="55"/>
    </row>
    <row r="15" spans="2:4" ht="47.25" customHeight="1">
      <c r="B15" s="41" t="s">
        <v>40</v>
      </c>
      <c r="C15" s="36" t="s">
        <v>48</v>
      </c>
      <c r="D15" s="4"/>
    </row>
    <row r="16" spans="2:4" ht="12.75">
      <c r="B16" s="41" t="s">
        <v>6</v>
      </c>
      <c r="C16" s="36" t="s">
        <v>49</v>
      </c>
      <c r="D16" s="26"/>
    </row>
    <row r="17" spans="2:4" ht="51.75" thickBot="1">
      <c r="B17" s="39" t="s">
        <v>7</v>
      </c>
      <c r="C17" s="36" t="s">
        <v>50</v>
      </c>
      <c r="D17" s="5"/>
    </row>
    <row r="18" spans="2:4" s="50" customFormat="1" ht="24.75" customHeight="1" thickBot="1">
      <c r="B18" s="51" t="s">
        <v>4</v>
      </c>
      <c r="C18" s="60" t="s">
        <v>1</v>
      </c>
      <c r="D18" s="61"/>
    </row>
    <row r="19" s="48" customFormat="1" ht="12.75">
      <c r="B19" s="49"/>
    </row>
    <row r="20" ht="12.75" hidden="1"/>
    <row r="21" ht="12.75" hidden="1"/>
    <row r="22" ht="12.75" hidden="1"/>
    <row r="23" ht="12.75" hidden="1"/>
    <row r="24" ht="12.75" hidden="1">
      <c r="D24" t="b">
        <f>AND(D14="",D15="",D16="",D17="")</f>
        <v>1</v>
      </c>
    </row>
    <row r="25" ht="12.75" hidden="1"/>
    <row r="26" ht="12.75" hidden="1"/>
    <row r="27" ht="12.75" hidden="1"/>
    <row r="28" ht="12.75" hidden="1"/>
  </sheetData>
  <sheetProtection/>
  <mergeCells count="4">
    <mergeCell ref="C9:D9"/>
    <mergeCell ref="B10:B12"/>
    <mergeCell ref="C10:D12"/>
    <mergeCell ref="C18:D18"/>
  </mergeCells>
  <hyperlinks>
    <hyperlink ref="A1" location="Hoja1!A1" display="VOLVER AL MENU"/>
  </hyperlinks>
  <printOptions/>
  <pageMargins left="0.86" right="0.48" top="1.38" bottom="1" header="0" footer="0"/>
  <pageSetup fitToWidth="3" horizontalDpi="200" verticalDpi="2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="85" zoomScaleNormal="85" zoomScalePageLayoutView="0" workbookViewId="0" topLeftCell="A7">
      <pane xSplit="3" topLeftCell="D1" activePane="topRight" state="frozen"/>
      <selection pane="topLeft" activeCell="H25" sqref="H25"/>
      <selection pane="topRight" activeCell="B25" sqref="B25"/>
    </sheetView>
  </sheetViews>
  <sheetFormatPr defaultColWidth="11.421875" defaultRowHeight="12.75"/>
  <cols>
    <col min="1" max="1" width="7.57421875" style="43" customWidth="1"/>
    <col min="2" max="2" width="39.57421875" style="2" customWidth="1"/>
    <col min="3" max="3" width="19.28125" style="2" customWidth="1"/>
    <col min="4" max="4" width="16.7109375" style="2" customWidth="1"/>
    <col min="5" max="6" width="16.140625" style="0" customWidth="1"/>
  </cols>
  <sheetData>
    <row r="1" ht="12.75">
      <c r="A1" s="46" t="s">
        <v>5</v>
      </c>
    </row>
    <row r="4" ht="13.5" thickBot="1"/>
    <row r="5" spans="2:6" ht="54.75" customHeight="1">
      <c r="B5" s="98" t="str">
        <f>+'VERIFICACION DE LOS D. FINANCIE'!B5</f>
        <v>EVALUACIÓN FINANCIERA: CONVOCATORIA PUBLICA Nº 019 DE 2008</v>
      </c>
      <c r="C5" s="99"/>
      <c r="D5" s="37"/>
      <c r="E5" s="37"/>
      <c r="F5" s="37"/>
    </row>
    <row r="6" spans="2:6" ht="76.5" customHeight="1" thickBot="1">
      <c r="B6" s="100" t="str">
        <f>+'VERIFICACION DE LOS D. FINANCIE'!B6</f>
        <v>OBJETO: CONTRATAR EL PROCESAMIENTO TECNICO DEL MATERIAL BIBLIOGRAFICO DE LA UNIVERSIDAD DISTRITAL FRANCISCO JOSÉ DE CALDAS, A TRAVES DEL SISTEMA DE INFORMACION BIBLIOGRAFICO IMPLEMENTADO SOBRE ALEPH 500 VERSION 16.02 </v>
      </c>
      <c r="C6" s="101"/>
      <c r="D6" s="38"/>
      <c r="E6" s="102"/>
      <c r="F6" s="103"/>
    </row>
    <row r="8" ht="13.5" thickBot="1"/>
    <row r="9" spans="1:6" s="118" customFormat="1" ht="24.75" customHeight="1" thickBot="1">
      <c r="A9" s="58"/>
      <c r="B9" s="83" t="s">
        <v>2</v>
      </c>
      <c r="C9" s="84"/>
      <c r="D9" s="74">
        <v>1</v>
      </c>
      <c r="E9" s="75"/>
      <c r="F9" s="76"/>
    </row>
    <row r="10" spans="2:6" ht="12.75" customHeight="1">
      <c r="B10" s="64" t="s">
        <v>3</v>
      </c>
      <c r="C10" s="107"/>
      <c r="D10" s="64" t="s">
        <v>46</v>
      </c>
      <c r="E10" s="85"/>
      <c r="F10" s="86"/>
    </row>
    <row r="11" spans="2:6" ht="12.75">
      <c r="B11" s="66"/>
      <c r="C11" s="108"/>
      <c r="D11" s="66"/>
      <c r="E11" s="92"/>
      <c r="F11" s="93"/>
    </row>
    <row r="12" spans="2:6" ht="51.75" customHeight="1" thickBot="1">
      <c r="B12" s="68"/>
      <c r="C12" s="109"/>
      <c r="D12" s="62"/>
      <c r="E12" s="94"/>
      <c r="F12" s="63"/>
    </row>
    <row r="13" spans="1:6" s="3" customFormat="1" ht="25.5" customHeight="1" thickBot="1">
      <c r="A13" s="1"/>
      <c r="B13" s="110" t="s">
        <v>11</v>
      </c>
      <c r="C13" s="97"/>
      <c r="D13" s="95" t="s">
        <v>12</v>
      </c>
      <c r="E13" s="96"/>
      <c r="F13" s="97"/>
    </row>
    <row r="14" spans="2:6" ht="13.5" thickBot="1">
      <c r="B14" s="10" t="s">
        <v>0</v>
      </c>
      <c r="C14" s="16" t="s">
        <v>13</v>
      </c>
      <c r="D14" s="10" t="s">
        <v>9</v>
      </c>
      <c r="E14" s="17" t="s">
        <v>8</v>
      </c>
      <c r="F14" s="18" t="s">
        <v>10</v>
      </c>
    </row>
    <row r="15" spans="1:6" ht="31.5" customHeight="1">
      <c r="A15" s="47">
        <v>0.7</v>
      </c>
      <c r="B15" s="111" t="s">
        <v>41</v>
      </c>
      <c r="C15" s="11" t="s">
        <v>15</v>
      </c>
      <c r="D15" s="33">
        <v>677407</v>
      </c>
      <c r="E15" s="87">
        <f>+IF(D15="","",D15/D16)</f>
        <v>0.47691082690442027</v>
      </c>
      <c r="F15" s="88" t="str">
        <f>IF(E15&lt;=$A15,"CUMPLE","NO CUMPLE")</f>
        <v>CUMPLE</v>
      </c>
    </row>
    <row r="16" spans="2:6" ht="31.5" customHeight="1" thickBot="1">
      <c r="B16" s="105"/>
      <c r="C16" s="12" t="s">
        <v>16</v>
      </c>
      <c r="D16" s="23">
        <v>1420406</v>
      </c>
      <c r="E16" s="78"/>
      <c r="F16" s="77"/>
    </row>
    <row r="17" spans="1:6" ht="31.5" customHeight="1">
      <c r="A17" s="47">
        <v>0.3</v>
      </c>
      <c r="B17" s="112" t="s">
        <v>42</v>
      </c>
      <c r="C17" s="13" t="s">
        <v>17</v>
      </c>
      <c r="D17" s="23">
        <v>1366668</v>
      </c>
      <c r="E17" s="89">
        <f>+IF(D17="","",D17-D18)</f>
        <v>689261</v>
      </c>
      <c r="F17" s="77" t="str">
        <f>+IF(E17&gt;=D$29,"CUMPLE"," NO CUMPLE")</f>
        <v>CUMPLE</v>
      </c>
    </row>
    <row r="18" spans="2:6" ht="31.5" customHeight="1" thickBot="1">
      <c r="B18" s="105"/>
      <c r="C18" s="14" t="s">
        <v>18</v>
      </c>
      <c r="D18" s="23">
        <v>677407</v>
      </c>
      <c r="E18" s="89"/>
      <c r="F18" s="77"/>
    </row>
    <row r="19" spans="1:6" ht="31.5" customHeight="1">
      <c r="A19" s="43">
        <v>1.3</v>
      </c>
      <c r="B19" s="106" t="s">
        <v>43</v>
      </c>
      <c r="C19" s="13" t="s">
        <v>17</v>
      </c>
      <c r="D19" s="23">
        <f>+D17</f>
        <v>1366668</v>
      </c>
      <c r="E19" s="90">
        <f>+IF(D19="","",D19/D20)</f>
        <v>2.0174990810546687</v>
      </c>
      <c r="F19" s="77" t="str">
        <f>+IF(E19&gt;=1,"CUMPLE","NO CUMPLE")</f>
        <v>CUMPLE</v>
      </c>
    </row>
    <row r="20" spans="2:6" ht="31.5" customHeight="1" thickBot="1">
      <c r="B20" s="105"/>
      <c r="C20" s="14" t="s">
        <v>18</v>
      </c>
      <c r="D20" s="23">
        <f>+D18</f>
        <v>677407</v>
      </c>
      <c r="E20" s="90"/>
      <c r="F20" s="77"/>
    </row>
    <row r="21" spans="1:6" ht="31.5" customHeight="1">
      <c r="A21" s="43">
        <v>1.5</v>
      </c>
      <c r="B21" s="104" t="s">
        <v>14</v>
      </c>
      <c r="C21" s="15" t="s">
        <v>19</v>
      </c>
      <c r="D21" s="23">
        <v>300000</v>
      </c>
      <c r="E21" s="90">
        <f>+IF(D21="","",D21/D22)</f>
        <v>0.4037690494872806</v>
      </c>
      <c r="F21" s="77" t="str">
        <f>+IF(E21&lt;=$A21,"CUMPLE","NO CUMPLE")</f>
        <v>CUMPLE</v>
      </c>
    </row>
    <row r="22" spans="2:6" ht="31.5" customHeight="1" thickBot="1">
      <c r="B22" s="105"/>
      <c r="C22" s="14" t="s">
        <v>20</v>
      </c>
      <c r="D22" s="34">
        <f>+D16-D15</f>
        <v>742999</v>
      </c>
      <c r="E22" s="91"/>
      <c r="F22" s="79"/>
    </row>
    <row r="23" spans="2:6" ht="27" customHeight="1" thickBot="1">
      <c r="B23" s="52" t="s">
        <v>4</v>
      </c>
      <c r="C23" s="52"/>
      <c r="D23" s="80" t="str">
        <f>IF(F32=TRUE,"CUMPLE","NO CUMPLE")</f>
        <v>CUMPLE</v>
      </c>
      <c r="E23" s="81"/>
      <c r="F23" s="82"/>
    </row>
    <row r="25" spans="2:3" ht="12.75">
      <c r="B25" s="53"/>
      <c r="C25" s="54"/>
    </row>
    <row r="27" spans="4:6" ht="12.75" hidden="1">
      <c r="D27" s="42">
        <f>+C25</f>
        <v>0</v>
      </c>
      <c r="F27" s="19"/>
    </row>
    <row r="28" spans="2:6" ht="12.75" hidden="1">
      <c r="B28" s="47">
        <f>+A17</f>
        <v>0.3</v>
      </c>
      <c r="D28" s="19">
        <f>+D27*$B$28</f>
        <v>0</v>
      </c>
      <c r="F28" s="19"/>
    </row>
    <row r="29" spans="2:6" ht="12.75" hidden="1">
      <c r="B29" s="43" t="s">
        <v>21</v>
      </c>
      <c r="D29" s="19">
        <f>+D28/1000</f>
        <v>0</v>
      </c>
      <c r="F29" s="2"/>
    </row>
    <row r="30" ht="12.75" hidden="1"/>
    <row r="31" ht="12.75" hidden="1"/>
    <row r="32" ht="12.75" hidden="1">
      <c r="F32" t="b">
        <f>AND(F15="CUMPLE",F17="CUMPLE",F19="CUMPLE",F21="CUMPLE")</f>
        <v>1</v>
      </c>
    </row>
    <row r="33" ht="12.75" hidden="1"/>
    <row r="40" spans="3:4" ht="12.75">
      <c r="C40" s="27"/>
      <c r="D40" s="19"/>
    </row>
  </sheetData>
  <sheetProtection/>
  <mergeCells count="22">
    <mergeCell ref="D23:F23"/>
    <mergeCell ref="B10:C12"/>
    <mergeCell ref="B13:C13"/>
    <mergeCell ref="B15:B16"/>
    <mergeCell ref="B17:B18"/>
    <mergeCell ref="E15:E16"/>
    <mergeCell ref="D13:F13"/>
    <mergeCell ref="B9:C9"/>
    <mergeCell ref="B21:B22"/>
    <mergeCell ref="E19:E20"/>
    <mergeCell ref="E17:E18"/>
    <mergeCell ref="E21:E22"/>
    <mergeCell ref="F17:F18"/>
    <mergeCell ref="B19:B20"/>
    <mergeCell ref="F19:F20"/>
    <mergeCell ref="F21:F22"/>
    <mergeCell ref="B5:C5"/>
    <mergeCell ref="B6:C6"/>
    <mergeCell ref="F15:F16"/>
    <mergeCell ref="E6:F6"/>
    <mergeCell ref="D10:F12"/>
    <mergeCell ref="D9:F9"/>
  </mergeCells>
  <hyperlinks>
    <hyperlink ref="A1" location="Hoja1!A1" display="VOLVER AL MENU"/>
  </hyperlinks>
  <printOptions/>
  <pageMargins left="0.65" right="0.48" top="1.38" bottom="1" header="0" footer="0"/>
  <pageSetup fitToWidth="3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9"/>
  <sheetViews>
    <sheetView zoomScalePageLayoutView="0" workbookViewId="0" topLeftCell="A21">
      <selection activeCell="B41" sqref="B41"/>
    </sheetView>
  </sheetViews>
  <sheetFormatPr defaultColWidth="11.421875" defaultRowHeight="12.75"/>
  <cols>
    <col min="1" max="1" width="22.7109375" style="0" customWidth="1"/>
    <col min="8" max="8" width="12.7109375" style="0" customWidth="1"/>
    <col min="9" max="9" width="12.421875" style="0" customWidth="1"/>
  </cols>
  <sheetData>
    <row r="2" spans="1:3" ht="12.75">
      <c r="A2" s="116" t="s">
        <v>38</v>
      </c>
      <c r="B2" s="117"/>
      <c r="C2" s="117"/>
    </row>
    <row r="3" spans="11:16" ht="12.75" customHeight="1">
      <c r="K3" s="114" t="e">
        <f>+'EVALUACIÓN FINANCIERA'!#REF!</f>
        <v>#REF!</v>
      </c>
      <c r="L3" s="115"/>
      <c r="M3" s="115"/>
      <c r="N3" s="115"/>
      <c r="O3" s="115"/>
      <c r="P3" s="115"/>
    </row>
    <row r="4" spans="1:16" s="20" customFormat="1" ht="30" customHeight="1">
      <c r="A4" s="32" t="s">
        <v>34</v>
      </c>
      <c r="B4" s="113" t="str">
        <f>+'EVALUACIÓN FINANCIERA'!D10</f>
        <v>CONSULTORES NACIONALES ASOCIADOS LTDA.</v>
      </c>
      <c r="C4" s="113"/>
      <c r="D4" s="113"/>
      <c r="E4" s="113" t="e">
        <f>+'EVALUACIÓN FINANCIERA'!#REF!</f>
        <v>#REF!</v>
      </c>
      <c r="F4" s="113"/>
      <c r="G4" s="113"/>
      <c r="H4" s="113" t="e">
        <f>+'EVALUACIÓN FINANCIERA'!#REF!</f>
        <v>#REF!</v>
      </c>
      <c r="I4" s="113"/>
      <c r="J4" s="113"/>
      <c r="K4" s="113"/>
      <c r="L4" s="113"/>
      <c r="M4" s="113"/>
      <c r="N4" s="113" t="e">
        <f>+'EVALUACIÓN FINANCIERA'!#REF!</f>
        <v>#REF!</v>
      </c>
      <c r="O4" s="113"/>
      <c r="P4" s="113"/>
    </row>
    <row r="5" spans="2:16" s="1" customFormat="1" ht="12.75">
      <c r="B5" s="21" t="s">
        <v>23</v>
      </c>
      <c r="C5" s="21" t="s">
        <v>24</v>
      </c>
      <c r="D5" s="21" t="s">
        <v>25</v>
      </c>
      <c r="E5" s="21" t="s">
        <v>23</v>
      </c>
      <c r="F5" s="21" t="s">
        <v>24</v>
      </c>
      <c r="G5" s="21" t="s">
        <v>25</v>
      </c>
      <c r="H5" s="21" t="s">
        <v>23</v>
      </c>
      <c r="I5" s="21" t="s">
        <v>24</v>
      </c>
      <c r="J5" s="21" t="s">
        <v>25</v>
      </c>
      <c r="K5" s="21" t="s">
        <v>23</v>
      </c>
      <c r="L5" s="21" t="s">
        <v>24</v>
      </c>
      <c r="M5" s="21" t="s">
        <v>25</v>
      </c>
      <c r="N5" s="21" t="s">
        <v>23</v>
      </c>
      <c r="O5" s="21" t="s">
        <v>24</v>
      </c>
      <c r="P5" s="21" t="s">
        <v>25</v>
      </c>
    </row>
    <row r="6" ht="12.75">
      <c r="B6" s="24"/>
    </row>
    <row r="7" spans="1:16" ht="12.75">
      <c r="A7" s="22" t="s">
        <v>27</v>
      </c>
      <c r="B7" s="28"/>
      <c r="C7" s="28"/>
      <c r="D7" s="28">
        <f>+B7-C7</f>
        <v>0</v>
      </c>
      <c r="E7" s="28"/>
      <c r="F7" s="28"/>
      <c r="G7" s="28">
        <f>+E7-F7</f>
        <v>0</v>
      </c>
      <c r="H7" s="28"/>
      <c r="I7" s="28"/>
      <c r="J7" s="28">
        <f>+H7-I7</f>
        <v>0</v>
      </c>
      <c r="K7" s="28"/>
      <c r="L7" s="28"/>
      <c r="M7" s="28">
        <f>+K7-L7</f>
        <v>0</v>
      </c>
      <c r="N7" s="28"/>
      <c r="O7" s="28"/>
      <c r="P7" s="28">
        <f>+N7-O7</f>
        <v>0</v>
      </c>
    </row>
    <row r="8" spans="2:16" ht="12.7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2.75">
      <c r="A9" s="22" t="s">
        <v>26</v>
      </c>
      <c r="B9" s="28"/>
      <c r="C9" s="28"/>
      <c r="D9" s="28">
        <f>+B9-C9</f>
        <v>0</v>
      </c>
      <c r="E9" s="28"/>
      <c r="F9" s="28"/>
      <c r="G9" s="28">
        <f>+E9-F9</f>
        <v>0</v>
      </c>
      <c r="H9" s="28"/>
      <c r="I9" s="28"/>
      <c r="J9" s="28">
        <f>+H9-I9</f>
        <v>0</v>
      </c>
      <c r="K9" s="28"/>
      <c r="L9" s="28"/>
      <c r="M9" s="28">
        <f>+K9-L9</f>
        <v>0</v>
      </c>
      <c r="N9" s="28"/>
      <c r="O9" s="28"/>
      <c r="P9" s="28">
        <f>+N9-O9</f>
        <v>0</v>
      </c>
    </row>
    <row r="10" spans="2:16" ht="12.7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2.75">
      <c r="A11" s="22" t="s">
        <v>28</v>
      </c>
      <c r="B11" s="29">
        <f aca="true" t="shared" si="0" ref="B11:J11">+B7-B9</f>
        <v>0</v>
      </c>
      <c r="C11" s="29">
        <f t="shared" si="0"/>
        <v>0</v>
      </c>
      <c r="D11" s="29">
        <f t="shared" si="0"/>
        <v>0</v>
      </c>
      <c r="E11" s="29">
        <f t="shared" si="0"/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aca="true" t="shared" si="1" ref="K11:P11">+K7-K9</f>
        <v>0</v>
      </c>
      <c r="L11" s="29">
        <f t="shared" si="1"/>
        <v>0</v>
      </c>
      <c r="M11" s="29">
        <f t="shared" si="1"/>
        <v>0</v>
      </c>
      <c r="N11" s="29">
        <f t="shared" si="1"/>
        <v>0</v>
      </c>
      <c r="O11" s="29">
        <f t="shared" si="1"/>
        <v>0</v>
      </c>
      <c r="P11" s="29">
        <f t="shared" si="1"/>
        <v>0</v>
      </c>
    </row>
    <row r="12" spans="2:16" ht="12.7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ht="12.75">
      <c r="A13" s="22" t="s">
        <v>29</v>
      </c>
      <c r="B13" s="28"/>
      <c r="C13" s="28"/>
      <c r="D13" s="28">
        <f>+B13-C13</f>
        <v>0</v>
      </c>
      <c r="E13" s="28"/>
      <c r="F13" s="28"/>
      <c r="G13" s="28">
        <f>+E13-F13</f>
        <v>0</v>
      </c>
      <c r="H13" s="28"/>
      <c r="I13" s="28"/>
      <c r="J13" s="28">
        <f>+H13-I13</f>
        <v>0</v>
      </c>
      <c r="K13" s="28"/>
      <c r="L13" s="28"/>
      <c r="M13" s="28">
        <f>+K13-L13</f>
        <v>0</v>
      </c>
      <c r="N13" s="28"/>
      <c r="O13" s="28"/>
      <c r="P13" s="28">
        <f>+N13-O13</f>
        <v>0</v>
      </c>
    </row>
    <row r="14" spans="2:16" ht="12.7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 ht="12.75">
      <c r="A15" s="22" t="s">
        <v>30</v>
      </c>
      <c r="B15" s="28"/>
      <c r="C15" s="28"/>
      <c r="D15" s="28">
        <f>+B15-C15</f>
        <v>0</v>
      </c>
      <c r="E15" s="28"/>
      <c r="F15" s="28"/>
      <c r="G15" s="28">
        <f>+E15-F15</f>
        <v>0</v>
      </c>
      <c r="H15" s="28"/>
      <c r="I15" s="28"/>
      <c r="J15" s="28">
        <f>+H15-I15</f>
        <v>0</v>
      </c>
      <c r="K15" s="28"/>
      <c r="L15" s="28"/>
      <c r="M15" s="28">
        <f>+K15-L15</f>
        <v>0</v>
      </c>
      <c r="N15" s="28"/>
      <c r="O15" s="28"/>
      <c r="P15" s="28">
        <f>+N15-O15</f>
        <v>0</v>
      </c>
    </row>
    <row r="16" spans="2:16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 ht="12.75">
      <c r="A17" s="22" t="s">
        <v>31</v>
      </c>
      <c r="B17" s="28"/>
      <c r="C17" s="28"/>
      <c r="D17" s="28">
        <f>+B17-C17</f>
        <v>0</v>
      </c>
      <c r="E17" s="28"/>
      <c r="F17" s="28"/>
      <c r="G17" s="28">
        <f>+E17-F17</f>
        <v>0</v>
      </c>
      <c r="H17" s="28"/>
      <c r="I17" s="28"/>
      <c r="J17" s="28">
        <f>+H17-I17</f>
        <v>0</v>
      </c>
      <c r="K17" s="28"/>
      <c r="L17" s="28"/>
      <c r="M17" s="28">
        <f>+K17-L17</f>
        <v>0</v>
      </c>
      <c r="N17" s="28"/>
      <c r="O17" s="28"/>
      <c r="P17" s="28">
        <f>+N17-O17</f>
        <v>0</v>
      </c>
    </row>
    <row r="18" spans="2:16" ht="12.7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ht="12.75">
      <c r="A19" s="22" t="s">
        <v>36</v>
      </c>
      <c r="B19" s="28"/>
      <c r="C19" s="28"/>
      <c r="D19" s="28">
        <f>+B19-C19</f>
        <v>0</v>
      </c>
      <c r="E19" s="28"/>
      <c r="F19" s="28"/>
      <c r="G19" s="28">
        <f>+E19-F19</f>
        <v>0</v>
      </c>
      <c r="H19" s="28"/>
      <c r="I19" s="28"/>
      <c r="J19" s="28">
        <f>+H19-I19</f>
        <v>0</v>
      </c>
      <c r="K19" s="28"/>
      <c r="L19" s="28"/>
      <c r="M19" s="28">
        <f>+K19-L19</f>
        <v>0</v>
      </c>
      <c r="N19" s="28"/>
      <c r="O19" s="28"/>
      <c r="P19" s="28">
        <f>+N19-O19</f>
        <v>0</v>
      </c>
    </row>
    <row r="20" spans="2:16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12.75">
      <c r="A21" s="22" t="s">
        <v>32</v>
      </c>
      <c r="B21" s="28"/>
      <c r="C21" s="28"/>
      <c r="D21" s="28">
        <f>+B21-C21</f>
        <v>0</v>
      </c>
      <c r="E21" s="28"/>
      <c r="F21" s="28"/>
      <c r="G21" s="28">
        <f>+E21-F21</f>
        <v>0</v>
      </c>
      <c r="H21" s="28"/>
      <c r="I21" s="28"/>
      <c r="J21" s="28">
        <f>+H21-I21</f>
        <v>0</v>
      </c>
      <c r="K21" s="28"/>
      <c r="L21" s="28"/>
      <c r="M21" s="28">
        <f>+K21-L21</f>
        <v>0</v>
      </c>
      <c r="N21" s="28"/>
      <c r="O21" s="28"/>
      <c r="P21" s="28">
        <f>+N21-O21</f>
        <v>0</v>
      </c>
    </row>
    <row r="22" spans="2:16" ht="12.7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2.75">
      <c r="A23" s="22" t="s">
        <v>33</v>
      </c>
      <c r="B23" s="29">
        <f aca="true" t="shared" si="2" ref="B23:J23">+B13-B15-B17-B19-B21</f>
        <v>0</v>
      </c>
      <c r="C23" s="29">
        <f t="shared" si="2"/>
        <v>0</v>
      </c>
      <c r="D23" s="30">
        <f t="shared" si="2"/>
        <v>0</v>
      </c>
      <c r="E23" s="29">
        <f t="shared" si="2"/>
        <v>0</v>
      </c>
      <c r="F23" s="29">
        <f t="shared" si="2"/>
        <v>0</v>
      </c>
      <c r="G23" s="30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29">
        <f aca="true" t="shared" si="3" ref="K23:P23">+K13-K15-K17-K19-K21</f>
        <v>0</v>
      </c>
      <c r="L23" s="29">
        <f t="shared" si="3"/>
        <v>0</v>
      </c>
      <c r="M23" s="29">
        <f t="shared" si="3"/>
        <v>0</v>
      </c>
      <c r="N23" s="29">
        <f t="shared" si="3"/>
        <v>0</v>
      </c>
      <c r="O23" s="29">
        <f t="shared" si="3"/>
        <v>0</v>
      </c>
      <c r="P23" s="29">
        <f t="shared" si="3"/>
        <v>0</v>
      </c>
    </row>
    <row r="27" spans="1:3" ht="12.75">
      <c r="A27" s="116" t="s">
        <v>38</v>
      </c>
      <c r="B27" s="117"/>
      <c r="C27" s="117"/>
    </row>
    <row r="29" spans="1:13" ht="12.75">
      <c r="A29" s="32" t="s">
        <v>35</v>
      </c>
      <c r="B29" s="113" t="str">
        <f>+B4</f>
        <v>CONSULTORES NACIONALES ASOCIADOS LTDA.</v>
      </c>
      <c r="C29" s="113"/>
      <c r="D29" s="113"/>
      <c r="E29" s="113" t="e">
        <f>+E4</f>
        <v>#REF!</v>
      </c>
      <c r="F29" s="113"/>
      <c r="G29" s="113"/>
      <c r="H29" s="113" t="e">
        <f>+H4</f>
        <v>#REF!</v>
      </c>
      <c r="I29" s="113"/>
      <c r="J29" s="113"/>
      <c r="K29" s="113">
        <f>+K4</f>
        <v>0</v>
      </c>
      <c r="L29" s="113"/>
      <c r="M29" s="113"/>
    </row>
    <row r="30" spans="1:13" ht="12.75">
      <c r="A30" s="1"/>
      <c r="B30" s="21" t="s">
        <v>23</v>
      </c>
      <c r="C30" s="21" t="s">
        <v>24</v>
      </c>
      <c r="D30" s="21" t="s">
        <v>25</v>
      </c>
      <c r="E30" s="21" t="s">
        <v>23</v>
      </c>
      <c r="F30" s="21" t="s">
        <v>24</v>
      </c>
      <c r="G30" s="21" t="s">
        <v>25</v>
      </c>
      <c r="H30" s="21" t="s">
        <v>23</v>
      </c>
      <c r="I30" s="21" t="s">
        <v>24</v>
      </c>
      <c r="J30" s="21" t="s">
        <v>25</v>
      </c>
      <c r="K30" s="21" t="s">
        <v>23</v>
      </c>
      <c r="L30" s="21" t="s">
        <v>24</v>
      </c>
      <c r="M30" s="21" t="s">
        <v>25</v>
      </c>
    </row>
    <row r="32" spans="1:13" ht="12.75">
      <c r="A32" s="22" t="s">
        <v>27</v>
      </c>
      <c r="B32" s="28">
        <v>338540</v>
      </c>
      <c r="C32" s="28">
        <v>338540</v>
      </c>
      <c r="D32" s="28">
        <f>+B32-C32</f>
        <v>0</v>
      </c>
      <c r="E32" s="28"/>
      <c r="F32" s="28">
        <v>2236097</v>
      </c>
      <c r="G32" s="28">
        <f>+E32-F32</f>
        <v>-2236097</v>
      </c>
      <c r="H32" s="28">
        <v>3913626</v>
      </c>
      <c r="I32" s="28">
        <v>3439435</v>
      </c>
      <c r="J32" s="28">
        <f>+H32-I32</f>
        <v>474191</v>
      </c>
      <c r="K32" s="28">
        <v>3913626</v>
      </c>
      <c r="L32" s="28">
        <v>3439435</v>
      </c>
      <c r="M32" s="28">
        <f>+K32-L32</f>
        <v>474191</v>
      </c>
    </row>
    <row r="33" spans="2:13" ht="12.7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.75">
      <c r="A34" s="22" t="s">
        <v>26</v>
      </c>
      <c r="B34" s="28">
        <v>177384</v>
      </c>
      <c r="C34" s="28">
        <v>177384</v>
      </c>
      <c r="D34" s="28">
        <f>+B34-C34</f>
        <v>0</v>
      </c>
      <c r="E34" s="28"/>
      <c r="F34" s="28">
        <v>1443897</v>
      </c>
      <c r="G34" s="28">
        <f>+E34-F34</f>
        <v>-1443897</v>
      </c>
      <c r="H34" s="28">
        <v>1966502</v>
      </c>
      <c r="I34" s="28">
        <v>1966503</v>
      </c>
      <c r="J34" s="28">
        <f>+H34-I34</f>
        <v>-1</v>
      </c>
      <c r="K34" s="28">
        <v>1966502</v>
      </c>
      <c r="L34" s="28">
        <v>1966503</v>
      </c>
      <c r="M34" s="28">
        <f>+K34-L34</f>
        <v>-1</v>
      </c>
    </row>
    <row r="35" spans="2:13" ht="12.7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.75">
      <c r="A36" s="22" t="s">
        <v>28</v>
      </c>
      <c r="B36" s="29">
        <f aca="true" t="shared" si="4" ref="B36:J36">+B32-B34</f>
        <v>161156</v>
      </c>
      <c r="C36" s="29">
        <f t="shared" si="4"/>
        <v>161156</v>
      </c>
      <c r="D36" s="29">
        <f t="shared" si="4"/>
        <v>0</v>
      </c>
      <c r="E36" s="29">
        <f t="shared" si="4"/>
        <v>0</v>
      </c>
      <c r="F36" s="29">
        <f t="shared" si="4"/>
        <v>792200</v>
      </c>
      <c r="G36" s="29">
        <f t="shared" si="4"/>
        <v>-792200</v>
      </c>
      <c r="H36" s="31">
        <f t="shared" si="4"/>
        <v>1947124</v>
      </c>
      <c r="I36" s="31">
        <f t="shared" si="4"/>
        <v>1472932</v>
      </c>
      <c r="J36" s="31">
        <f t="shared" si="4"/>
        <v>474192</v>
      </c>
      <c r="K36" s="31">
        <f>+K32-K34</f>
        <v>1947124</v>
      </c>
      <c r="L36" s="31">
        <f>+L32-L34</f>
        <v>1472932</v>
      </c>
      <c r="M36" s="31">
        <f>+M32-M34</f>
        <v>474192</v>
      </c>
    </row>
    <row r="37" spans="2:13" ht="12.7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22" t="s">
        <v>29</v>
      </c>
      <c r="B38" s="28">
        <f>3497+174390</f>
        <v>177887</v>
      </c>
      <c r="C38" s="28">
        <v>177887</v>
      </c>
      <c r="D38" s="28">
        <f>+B38-C38</f>
        <v>0</v>
      </c>
      <c r="E38" s="28">
        <v>5286525</v>
      </c>
      <c r="F38" s="28">
        <v>5295374</v>
      </c>
      <c r="G38" s="28">
        <f>+E38-F38</f>
        <v>-8849</v>
      </c>
      <c r="H38" s="28">
        <f>2270798+344789</f>
        <v>2615587</v>
      </c>
      <c r="I38" s="28">
        <f>2270798+344789</f>
        <v>2615587</v>
      </c>
      <c r="J38" s="28">
        <f>+H38-I38</f>
        <v>0</v>
      </c>
      <c r="K38" s="28">
        <f>2270798+344789</f>
        <v>2615587</v>
      </c>
      <c r="L38" s="28">
        <f>2270798+344789</f>
        <v>2615587</v>
      </c>
      <c r="M38" s="28">
        <f>+K38-L38</f>
        <v>0</v>
      </c>
    </row>
    <row r="39" spans="2:13" ht="12.7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.75">
      <c r="A40" s="22" t="s">
        <v>30</v>
      </c>
      <c r="B40" s="28"/>
      <c r="C40" s="28">
        <v>0</v>
      </c>
      <c r="D40" s="28">
        <f>+B40-C40</f>
        <v>0</v>
      </c>
      <c r="E40" s="28">
        <v>3389864</v>
      </c>
      <c r="F40" s="28">
        <v>3389864</v>
      </c>
      <c r="G40" s="28">
        <f>+E40-F40</f>
        <v>0</v>
      </c>
      <c r="H40" s="28"/>
      <c r="I40" s="28">
        <v>0</v>
      </c>
      <c r="J40" s="28">
        <f>+H40-I40</f>
        <v>0</v>
      </c>
      <c r="K40" s="28"/>
      <c r="L40" s="28">
        <v>0</v>
      </c>
      <c r="M40" s="28">
        <f>+K40-L40</f>
        <v>0</v>
      </c>
    </row>
    <row r="41" spans="2:13" ht="12.7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.75">
      <c r="A42" s="22" t="s">
        <v>31</v>
      </c>
      <c r="B42" s="28">
        <f>158173+3499</f>
        <v>161672</v>
      </c>
      <c r="C42" s="28">
        <f>152061+3494</f>
        <v>155555</v>
      </c>
      <c r="D42" s="28">
        <f>+B42-C42</f>
        <v>6117</v>
      </c>
      <c r="E42" s="28">
        <v>1818615</v>
      </c>
      <c r="F42" s="28">
        <f>1150575+146851</f>
        <v>1297426</v>
      </c>
      <c r="G42" s="28">
        <f>+E42-F42</f>
        <v>521189</v>
      </c>
      <c r="H42" s="28">
        <f>1533588+58314+282281</f>
        <v>1874183</v>
      </c>
      <c r="I42" s="28">
        <f>1533588+58314+282281</f>
        <v>1874183</v>
      </c>
      <c r="J42" s="28">
        <f>+H42-I42</f>
        <v>0</v>
      </c>
      <c r="K42" s="28">
        <f>1533588+58314+282281</f>
        <v>1874183</v>
      </c>
      <c r="L42" s="28">
        <f>1533588+58314+282281</f>
        <v>1874183</v>
      </c>
      <c r="M42" s="28">
        <f>+K42-L42</f>
        <v>0</v>
      </c>
    </row>
    <row r="43" spans="2:13" ht="12.7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.75">
      <c r="A44" s="22" t="s">
        <v>36</v>
      </c>
      <c r="B44" s="28"/>
      <c r="C44" s="28"/>
      <c r="D44" s="28">
        <f>+B44-C44</f>
        <v>0</v>
      </c>
      <c r="E44" s="28"/>
      <c r="F44" s="28">
        <f>5943+8849</f>
        <v>14792</v>
      </c>
      <c r="G44" s="28">
        <f>+E44-F44</f>
        <v>-14792</v>
      </c>
      <c r="H44" s="28"/>
      <c r="I44" s="28"/>
      <c r="J44" s="28">
        <f>+H44-I44</f>
        <v>0</v>
      </c>
      <c r="K44" s="28"/>
      <c r="L44" s="28"/>
      <c r="M44" s="28">
        <f>+K44-L44</f>
        <v>0</v>
      </c>
    </row>
    <row r="45" spans="2:13" ht="12.75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.75">
      <c r="A46" s="22" t="s">
        <v>32</v>
      </c>
      <c r="B46" s="28">
        <v>15086</v>
      </c>
      <c r="C46" s="28">
        <f>1951+5619</f>
        <v>7570</v>
      </c>
      <c r="D46" s="28">
        <f>+B46-C46</f>
        <v>7516</v>
      </c>
      <c r="E46" s="28"/>
      <c r="F46" s="28">
        <v>202738</v>
      </c>
      <c r="G46" s="28">
        <f>+E46-F46</f>
        <v>-202738</v>
      </c>
      <c r="H46" s="28">
        <f>136270+132488+4747</f>
        <v>273505</v>
      </c>
      <c r="I46" s="28">
        <f>136270+132488+4747</f>
        <v>273505</v>
      </c>
      <c r="J46" s="28">
        <f>+H46-I46</f>
        <v>0</v>
      </c>
      <c r="K46" s="28">
        <f>136270+132488+4747</f>
        <v>273505</v>
      </c>
      <c r="L46" s="28">
        <f>136270+132488+4747</f>
        <v>273505</v>
      </c>
      <c r="M46" s="28">
        <f>+K46-L46</f>
        <v>0</v>
      </c>
    </row>
    <row r="47" spans="2:13" ht="12.75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.75">
      <c r="A48" s="22" t="s">
        <v>33</v>
      </c>
      <c r="B48" s="29">
        <f aca="true" t="shared" si="5" ref="B48:J48">+B38-B40-B42-B44-B46</f>
        <v>1129</v>
      </c>
      <c r="C48" s="29">
        <f t="shared" si="5"/>
        <v>14762</v>
      </c>
      <c r="D48" s="30">
        <f t="shared" si="5"/>
        <v>-13633</v>
      </c>
      <c r="E48" s="29">
        <f t="shared" si="5"/>
        <v>78046</v>
      </c>
      <c r="F48" s="29">
        <f t="shared" si="5"/>
        <v>390554</v>
      </c>
      <c r="G48" s="29">
        <f t="shared" si="5"/>
        <v>-312508</v>
      </c>
      <c r="H48" s="29">
        <f t="shared" si="5"/>
        <v>467899</v>
      </c>
      <c r="I48" s="29">
        <f t="shared" si="5"/>
        <v>467899</v>
      </c>
      <c r="J48" s="30">
        <f t="shared" si="5"/>
        <v>0</v>
      </c>
      <c r="K48" s="29">
        <f>+K38-K40-K42-K44-K46</f>
        <v>467899</v>
      </c>
      <c r="L48" s="29">
        <f>+L38-L40-L42-L44-L46</f>
        <v>467899</v>
      </c>
      <c r="M48" s="30">
        <f>+M38-M40-M42-M44-M46</f>
        <v>0</v>
      </c>
    </row>
    <row r="49" ht="12.75">
      <c r="D49" s="25" t="s">
        <v>37</v>
      </c>
    </row>
  </sheetData>
  <sheetProtection/>
  <mergeCells count="12">
    <mergeCell ref="A2:C2"/>
    <mergeCell ref="A27:C27"/>
    <mergeCell ref="B29:D29"/>
    <mergeCell ref="E29:G29"/>
    <mergeCell ref="H29:J29"/>
    <mergeCell ref="B4:D4"/>
    <mergeCell ref="N4:P4"/>
    <mergeCell ref="K3:P3"/>
    <mergeCell ref="E4:G4"/>
    <mergeCell ref="H4:J4"/>
    <mergeCell ref="K4:M4"/>
    <mergeCell ref="K29:M29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rafajardom</dc:creator>
  <cp:keywords/>
  <dc:description/>
  <cp:lastModifiedBy>pvicerrec11</cp:lastModifiedBy>
  <cp:lastPrinted>2008-09-29T19:13:47Z</cp:lastPrinted>
  <dcterms:created xsi:type="dcterms:W3CDTF">2008-02-21T13:10:19Z</dcterms:created>
  <dcterms:modified xsi:type="dcterms:W3CDTF">2008-11-18T18:40:16Z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