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0"/>
  </bookViews>
  <sheets>
    <sheet name="EVALUACIÓN FINANCIERA" sheetId="1" r:id="rId1"/>
    <sheet name="CONCILIACIONES" sheetId="2" state="hidden" r:id="rId2"/>
  </sheets>
  <externalReferences>
    <externalReference r:id="rId5"/>
  </externalReferences>
  <definedNames>
    <definedName name="_xlnm.Print_Area" localSheetId="0">'EVALUACIÓN FINANCIERA'!$D$10:$AT$23</definedName>
    <definedName name="_xlnm.Print_Titles" localSheetId="0">'EVALUACIÓN FINANCIERA'!$B:$C,'EVALUACIÓN FINANCIERA'!$5:$14</definedName>
  </definedNames>
  <calcPr fullCalcOnLoad="1"/>
</workbook>
</file>

<file path=xl/sharedStrings.xml><?xml version="1.0" encoding="utf-8"?>
<sst xmlns="http://schemas.openxmlformats.org/spreadsheetml/2006/main" count="128" uniqueCount="40">
  <si>
    <t>DOCUMENTO</t>
  </si>
  <si>
    <t>No.</t>
  </si>
  <si>
    <t>PROPONENTE</t>
  </si>
  <si>
    <t>RESULTADO GENERAL</t>
  </si>
  <si>
    <t>VOLVER AL MENU</t>
  </si>
  <si>
    <t>RESULTADO</t>
  </si>
  <si>
    <t>FACTORES</t>
  </si>
  <si>
    <t>CALIFICACIÓN</t>
  </si>
  <si>
    <t>% DE PARTICIPACION</t>
  </si>
  <si>
    <t>NO APLICA</t>
  </si>
  <si>
    <t>item</t>
  </si>
  <si>
    <t>PASIVO TOTAL</t>
  </si>
  <si>
    <t>ACTIVO TOTAL</t>
  </si>
  <si>
    <t>ACTIVO CORRIENTE</t>
  </si>
  <si>
    <t>PASIVO CORRIENTE</t>
  </si>
  <si>
    <t>PATRIMONIO TOTAL</t>
  </si>
  <si>
    <t>EN MILES</t>
  </si>
  <si>
    <t>BALANCE</t>
  </si>
  <si>
    <t>RENTA</t>
  </si>
  <si>
    <t>DIF</t>
  </si>
  <si>
    <t>PASIVOS</t>
  </si>
  <si>
    <t>ACTIVOS</t>
  </si>
  <si>
    <t>PATRIMONIO</t>
  </si>
  <si>
    <t>INGRESOS</t>
  </si>
  <si>
    <t>COSTOS</t>
  </si>
  <si>
    <t>GASTOS</t>
  </si>
  <si>
    <t>OTRAS DEDUCCIONES</t>
  </si>
  <si>
    <t>RENTA LIQUIDA</t>
  </si>
  <si>
    <t>AÑO 2005</t>
  </si>
  <si>
    <t>AÑO 2006</t>
  </si>
  <si>
    <t>INVERSION ACTIVOS</t>
  </si>
  <si>
    <t>OK</t>
  </si>
  <si>
    <t>CONCILIACIONES PROPONENTES</t>
  </si>
  <si>
    <t>ENDEUDAMIENTO &lt;=70 % (PASIVO TOTAL / ACTIVO TOTAL )*100</t>
  </si>
  <si>
    <t>RAZON CORRIENTE &gt;= 1.3 (AC/PC)</t>
  </si>
  <si>
    <t>CAPITAL DE TRABAJO &gt;=30% del VALOR OFERTADO. ((AC-PC)</t>
  </si>
  <si>
    <t>RELACIÓN PATRIMONIAL &lt;=1.5 (VO/ PT)</t>
  </si>
  <si>
    <t>VALOR OFERTADO</t>
  </si>
  <si>
    <t>VALOR TOTAL PRESUPUESTO</t>
  </si>
  <si>
    <t>MONTO MAXIMO A OFERTAR</t>
  </si>
</sst>
</file>

<file path=xl/styles.xml><?xml version="1.0" encoding="utf-8"?>
<styleSheet xmlns="http://schemas.openxmlformats.org/spreadsheetml/2006/main">
  <numFmts count="5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\ #,##0_);\(&quot;$&quot;\ #,##0\)"/>
    <numFmt numFmtId="189" formatCode="&quot;$&quot;\ #,##0_);[Red]\(&quot;$&quot;\ #,##0\)"/>
    <numFmt numFmtId="190" formatCode="&quot;$&quot;\ #,##0.00_);\(&quot;$&quot;\ #,##0.00\)"/>
    <numFmt numFmtId="191" formatCode="&quot;$&quot;\ #,##0.00_);[Red]\(&quot;$&quot;\ #,##0.00\)"/>
    <numFmt numFmtId="192" formatCode="_(&quot;$&quot;\ * #,##0_);_(&quot;$&quot;\ * \(#,##0\);_(&quot;$&quot;\ * &quot;-&quot;_);_(@_)"/>
    <numFmt numFmtId="193" formatCode="_(* #,##0_);_(* \(#,##0\);_(* &quot;-&quot;_);_(@_)"/>
    <numFmt numFmtId="194" formatCode="_(&quot;$&quot;\ * #,##0.00_);_(&quot;$&quot;\ * \(#,##0.00\);_(&quot;$&quot;\ * &quot;-&quot;??_);_(@_)"/>
    <numFmt numFmtId="195" formatCode="_(* #,##0.00_);_(* \(#,##0.00\);_(* &quot;-&quot;??_);_(@_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.##0"/>
    <numFmt numFmtId="201" formatCode="#.##0.00"/>
    <numFmt numFmtId="202" formatCode="0.000"/>
    <numFmt numFmtId="203" formatCode="0.0"/>
    <numFmt numFmtId="204" formatCode="_ * #,##0.0_ ;_ * \-#,##0.0_ ;_ * &quot;-&quot;??_ ;_ @_ "/>
    <numFmt numFmtId="205" formatCode="_ * #,##0_ ;_ * \-#,##0_ ;_ * &quot;-&quot;??_ ;_ @_ "/>
    <numFmt numFmtId="206" formatCode="#,##0.0"/>
  </numFmts>
  <fonts count="32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1"/>
      <color indexed="8"/>
      <name val="Arial Narrow"/>
      <family val="2"/>
    </font>
    <font>
      <b/>
      <i/>
      <sz val="10"/>
      <color indexed="13"/>
      <name val="Arial"/>
      <family val="2"/>
    </font>
    <font>
      <b/>
      <sz val="10"/>
      <color indexed="13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justify" wrapText="1"/>
    </xf>
    <xf numFmtId="0" fontId="7" fillId="0" borderId="13" xfId="0" applyFont="1" applyBorder="1" applyAlignment="1">
      <alignment horizontal="justify" wrapText="1"/>
    </xf>
    <xf numFmtId="0" fontId="7" fillId="0" borderId="12" xfId="0" applyFont="1" applyBorder="1" applyAlignment="1">
      <alignment horizontal="justify" wrapText="1"/>
    </xf>
    <xf numFmtId="0" fontId="6" fillId="0" borderId="13" xfId="0" applyFont="1" applyBorder="1" applyAlignment="1">
      <alignment horizontal="justify" wrapText="1"/>
    </xf>
    <xf numFmtId="0" fontId="6" fillId="0" borderId="14" xfId="0" applyFont="1" applyBorder="1" applyAlignment="1">
      <alignment horizontal="justify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3" fontId="0" fillId="0" borderId="0" xfId="0" applyNumberFormat="1" applyFont="1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3" fontId="6" fillId="0" borderId="19" xfId="0" applyNumberFormat="1" applyFont="1" applyBorder="1" applyAlignment="1">
      <alignment horizontal="right" vertical="center"/>
    </xf>
    <xf numFmtId="0" fontId="0" fillId="0" borderId="0" xfId="0" applyAlignment="1" applyProtection="1">
      <alignment/>
      <protection/>
    </xf>
    <xf numFmtId="0" fontId="0" fillId="24" borderId="0" xfId="0" applyFont="1" applyFill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24" borderId="0" xfId="0" applyNumberFormat="1" applyFont="1" applyFill="1" applyAlignment="1">
      <alignment/>
    </xf>
    <xf numFmtId="3" fontId="1" fillId="11" borderId="0" xfId="0" applyNumberFormat="1" applyFont="1" applyFill="1" applyAlignment="1">
      <alignment/>
    </xf>
    <xf numFmtId="0" fontId="1" fillId="0" borderId="0" xfId="0" applyFont="1" applyAlignment="1">
      <alignment horizontal="center" vertical="center" wrapText="1"/>
    </xf>
    <xf numFmtId="3" fontId="6" fillId="0" borderId="20" xfId="0" applyNumberFormat="1" applyFont="1" applyBorder="1" applyAlignment="1">
      <alignment horizontal="right" vertical="center"/>
    </xf>
    <xf numFmtId="3" fontId="6" fillId="0" borderId="21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wrapText="1"/>
    </xf>
    <xf numFmtId="0" fontId="9" fillId="0" borderId="0" xfId="45" applyAlignment="1" applyProtection="1">
      <alignment horizontal="center"/>
      <protection/>
    </xf>
    <xf numFmtId="9" fontId="0" fillId="0" borderId="0" xfId="0" applyNumberFormat="1" applyAlignment="1">
      <alignment horizontal="center"/>
    </xf>
    <xf numFmtId="0" fontId="1" fillId="0" borderId="24" xfId="0" applyFont="1" applyBorder="1" applyAlignment="1">
      <alignment vertical="center" wrapText="1"/>
    </xf>
    <xf numFmtId="0" fontId="8" fillId="25" borderId="0" xfId="0" applyFont="1" applyFill="1" applyAlignment="1">
      <alignment horizontal="center" vertical="center"/>
    </xf>
    <xf numFmtId="0" fontId="8" fillId="25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3" fontId="6" fillId="0" borderId="30" xfId="0" applyNumberFormat="1" applyFont="1" applyBorder="1" applyAlignment="1">
      <alignment horizontal="right" vertical="center"/>
    </xf>
    <xf numFmtId="3" fontId="6" fillId="0" borderId="18" xfId="0" applyNumberFormat="1" applyFont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22" borderId="19" xfId="0" applyNumberFormat="1" applyFont="1" applyFill="1" applyBorder="1" applyAlignment="1">
      <alignment horizontal="right" vertical="center"/>
    </xf>
    <xf numFmtId="3" fontId="6" fillId="0" borderId="31" xfId="0" applyNumberFormat="1" applyFont="1" applyBorder="1" applyAlignment="1">
      <alignment horizontal="right" vertical="center"/>
    </xf>
    <xf numFmtId="206" fontId="0" fillId="0" borderId="0" xfId="71" applyNumberFormat="1" applyFont="1" applyAlignment="1">
      <alignment horizontal="center"/>
    </xf>
    <xf numFmtId="0" fontId="29" fillId="0" borderId="18" xfId="61" applyFont="1" applyBorder="1" applyAlignment="1">
      <alignment horizontal="left" vertical="center" wrapText="1"/>
      <protection/>
    </xf>
    <xf numFmtId="3" fontId="11" fillId="0" borderId="18" xfId="62" applyNumberFormat="1" applyBorder="1" applyAlignment="1">
      <alignment vertical="center"/>
      <protection/>
    </xf>
    <xf numFmtId="3" fontId="11" fillId="0" borderId="0" xfId="62" applyNumberFormat="1" applyAlignment="1">
      <alignment vertical="center"/>
      <protection/>
    </xf>
    <xf numFmtId="0" fontId="0" fillId="0" borderId="0" xfId="0" applyAlignment="1">
      <alignment vertical="center"/>
    </xf>
    <xf numFmtId="0" fontId="30" fillId="26" borderId="18" xfId="0" applyFont="1" applyFill="1" applyBorder="1" applyAlignment="1">
      <alignment horizontal="center" vertical="center"/>
    </xf>
    <xf numFmtId="205" fontId="31" fillId="26" borderId="18" xfId="48" applyNumberFormat="1" applyFont="1" applyFill="1" applyBorder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ont="1" applyFill="1" applyAlignment="1">
      <alignment vertical="center" wrapText="1"/>
    </xf>
    <xf numFmtId="4" fontId="6" fillId="4" borderId="2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wrapText="1"/>
    </xf>
    <xf numFmtId="3" fontId="8" fillId="0" borderId="0" xfId="0" applyNumberFormat="1" applyFont="1" applyAlignment="1">
      <alignment horizontal="right"/>
    </xf>
    <xf numFmtId="3" fontId="8" fillId="25" borderId="0" xfId="0" applyNumberFormat="1" applyFont="1" applyFill="1" applyAlignment="1">
      <alignment horizontal="right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2" fontId="0" fillId="0" borderId="38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0" fontId="0" fillId="0" borderId="30" xfId="0" applyNumberFormat="1" applyBorder="1" applyAlignment="1">
      <alignment horizontal="center" vertical="center"/>
    </xf>
    <xf numFmtId="10" fontId="0" fillId="0" borderId="18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25" borderId="35" xfId="0" applyFont="1" applyFill="1" applyBorder="1" applyAlignment="1">
      <alignment horizontal="center" vertical="center"/>
    </xf>
    <xf numFmtId="0" fontId="0" fillId="25" borderId="36" xfId="0" applyFont="1" applyFill="1" applyBorder="1" applyAlignment="1">
      <alignment horizontal="center" vertical="center"/>
    </xf>
    <xf numFmtId="0" fontId="0" fillId="25" borderId="37" xfId="0" applyFont="1" applyFill="1" applyBorder="1" applyAlignment="1">
      <alignment horizontal="center" vertical="center"/>
    </xf>
    <xf numFmtId="0" fontId="8" fillId="25" borderId="35" xfId="0" applyFont="1" applyFill="1" applyBorder="1" applyAlignment="1">
      <alignment horizontal="center" vertical="center"/>
    </xf>
    <xf numFmtId="0" fontId="28" fillId="25" borderId="36" xfId="0" applyFont="1" applyFill="1" applyBorder="1" applyAlignment="1">
      <alignment horizontal="center" vertical="center"/>
    </xf>
    <xf numFmtId="0" fontId="28" fillId="25" borderId="37" xfId="0" applyFont="1" applyFill="1" applyBorder="1" applyAlignment="1">
      <alignment horizontal="center" vertical="center"/>
    </xf>
    <xf numFmtId="0" fontId="1" fillId="25" borderId="35" xfId="0" applyFont="1" applyFill="1" applyBorder="1" applyAlignment="1">
      <alignment horizontal="center" vertical="center" wrapText="1"/>
    </xf>
    <xf numFmtId="0" fontId="1" fillId="25" borderId="36" xfId="0" applyFont="1" applyFill="1" applyBorder="1" applyAlignment="1">
      <alignment horizontal="center" vertical="center" wrapText="1"/>
    </xf>
    <xf numFmtId="0" fontId="1" fillId="25" borderId="37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8" fillId="0" borderId="20" xfId="0" applyFont="1" applyBorder="1" applyAlignment="1">
      <alignment horizontal="center" wrapText="1"/>
    </xf>
    <xf numFmtId="0" fontId="8" fillId="0" borderId="43" xfId="0" applyFont="1" applyBorder="1" applyAlignment="1">
      <alignment horizontal="center" wrapText="1"/>
    </xf>
    <xf numFmtId="0" fontId="0" fillId="0" borderId="21" xfId="0" applyFont="1" applyBorder="1" applyAlignment="1">
      <alignment horizontal="justify" vertical="center" wrapText="1"/>
    </xf>
    <xf numFmtId="0" fontId="0" fillId="0" borderId="42" xfId="0" applyFont="1" applyBorder="1" applyAlignment="1">
      <alignment horizontal="justify" vertical="center" wrapText="1"/>
    </xf>
    <xf numFmtId="0" fontId="0" fillId="0" borderId="46" xfId="0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3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center"/>
    </xf>
    <xf numFmtId="0" fontId="0" fillId="0" borderId="34" xfId="0" applyBorder="1" applyAlignment="1">
      <alignment horizontal="justify" vertical="center"/>
    </xf>
    <xf numFmtId="0" fontId="7" fillId="0" borderId="15" xfId="0" applyFont="1" applyBorder="1" applyAlignment="1">
      <alignment horizontal="justify" vertical="center"/>
    </xf>
    <xf numFmtId="0" fontId="0" fillId="0" borderId="14" xfId="0" applyFont="1" applyBorder="1" applyAlignment="1">
      <alignment horizontal="justify" vertical="center"/>
    </xf>
    <xf numFmtId="0" fontId="0" fillId="0" borderId="15" xfId="0" applyBorder="1" applyAlignment="1">
      <alignment horizontal="justify" vertical="center"/>
    </xf>
    <xf numFmtId="202" fontId="0" fillId="0" borderId="38" xfId="0" applyNumberFormat="1" applyBorder="1" applyAlignment="1">
      <alignment horizontal="center" vertical="center"/>
    </xf>
    <xf numFmtId="202" fontId="0" fillId="0" borderId="26" xfId="0" applyNumberFormat="1" applyBorder="1" applyAlignment="1">
      <alignment horizontal="center" vertical="center"/>
    </xf>
    <xf numFmtId="0" fontId="8" fillId="25" borderId="35" xfId="0" applyFont="1" applyFill="1" applyBorder="1" applyAlignment="1">
      <alignment horizontal="center" vertical="center" wrapText="1"/>
    </xf>
    <xf numFmtId="0" fontId="28" fillId="25" borderId="3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1" xfId="54"/>
    <cellStyle name="Normal 12" xfId="55"/>
    <cellStyle name="Normal 13" xfId="56"/>
    <cellStyle name="Normal 14" xfId="57"/>
    <cellStyle name="Normal 15" xfId="58"/>
    <cellStyle name="Normal 16" xfId="59"/>
    <cellStyle name="Normal 17" xfId="60"/>
    <cellStyle name="Normal 18" xfId="61"/>
    <cellStyle name="Normal 2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dxfs count="1">
    <dxf>
      <font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vicerrec11\Escritorio\EVAL%20CONVOCATORIA%20PUBLICA%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IFICACION DE LOS D. FINANCIE"/>
      <sheetName val="EVALUACIÓN FINANCIERA"/>
      <sheetName val="CONCILIACIONES"/>
    </sheetNames>
    <sheetDataSet>
      <sheetData sheetId="0">
        <row r="1">
          <cell r="A1" t="str">
            <v>EVALUACIÓN FINANCIERA: CONVOCATORIA PUBLICA Nº 017DE 2008</v>
          </cell>
        </row>
        <row r="2">
          <cell r="A2" t="str">
            <v>OBJETO: CONTRATAR EL SUMINISTRO DE MATERIAL BIBLIOGRAFICO (LIBROS) PARA LA BIBLIOTECA DE LA UNIVERSIDAD FRANCISCO JOSE DE CALDAS</v>
          </cell>
        </row>
        <row r="5">
          <cell r="B5" t="str">
            <v>LIBRERÍA TECNICA DE INGENIERIA</v>
          </cell>
          <cell r="E5" t="str">
            <v>P.O. BOX INTERNACIONAL LTDA.</v>
          </cell>
          <cell r="H5" t="str">
            <v>LIBRERÍA DEL INGENIERO LTDA.</v>
          </cell>
          <cell r="K5" t="str">
            <v>EDITORIAL HISPANO ANDINA</v>
          </cell>
          <cell r="N5" t="str">
            <v>COMERCIALIZADORA Y SUMINISTROS LTDA.</v>
          </cell>
          <cell r="Q5" t="str">
            <v>EDITORIAL REVERTE COLOMBIANA S.A.</v>
          </cell>
          <cell r="T5" t="str">
            <v>DISTRIBUIDORA COMERCIAL DIDACTICA LTDA.</v>
          </cell>
          <cell r="W5" t="str">
            <v>ALFAOMEGA COLOMBIANA S.A.</v>
          </cell>
          <cell r="Z5" t="str">
            <v>GRUPO KTDRA LTDA.</v>
          </cell>
          <cell r="AC5" t="str">
            <v>SIGLO DEL HOMBRE EDITORES S.A.</v>
          </cell>
          <cell r="AF5" t="str">
            <v>CIRCULO CULTURAL (GUERRERO VARGAS MARIA BERTILDA)</v>
          </cell>
          <cell r="AI5" t="str">
            <v>GRUPO NORIEGA EDITORES DE COLOMBIA LTDA.</v>
          </cell>
          <cell r="AL5" t="str">
            <v>UNION TEMPORAL MAGISTERIO</v>
          </cell>
          <cell r="AR5" t="str">
            <v>LIBRERÍA SOCIAL (LUIS GILBERTO CARRERO SALAZAR)</v>
          </cell>
        </row>
        <row r="7">
          <cell r="AL7" t="str">
            <v>COOPERATIVA EDITORIAL MAGISTERIO</v>
          </cell>
          <cell r="AO7" t="str">
            <v>EDITORIAL MAGISTERIO S.A.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4"/>
  <sheetViews>
    <sheetView showGridLines="0" tabSelected="1" zoomScale="85" zoomScaleNormal="85" workbookViewId="0" topLeftCell="A1">
      <pane xSplit="3" topLeftCell="AO1" activePane="topRight" state="frozen"/>
      <selection pane="topLeft" activeCell="J13" sqref="J13:L13"/>
      <selection pane="topRight" activeCell="AU20" sqref="AU20"/>
    </sheetView>
  </sheetViews>
  <sheetFormatPr defaultColWidth="11.421875" defaultRowHeight="12.75"/>
  <cols>
    <col min="1" max="1" width="7.57421875" style="30" customWidth="1"/>
    <col min="2" max="2" width="39.57421875" style="2" customWidth="1"/>
    <col min="3" max="3" width="19.28125" style="2" customWidth="1"/>
    <col min="4" max="4" width="16.7109375" style="2" customWidth="1"/>
    <col min="5" max="46" width="16.140625" style="0" customWidth="1"/>
  </cols>
  <sheetData>
    <row r="1" ht="12.75">
      <c r="A1" s="32" t="s">
        <v>4</v>
      </c>
    </row>
    <row r="4" ht="13.5" thickBot="1"/>
    <row r="5" spans="2:46" ht="46.5" customHeight="1">
      <c r="B5" s="108" t="str">
        <f>+'[1]VERIFICACION DE LOS D. FINANCIE'!A1</f>
        <v>EVALUACIÓN FINANCIERA: CONVOCATORIA PUBLICA Nº 017DE 2008</v>
      </c>
      <c r="C5" s="109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</row>
    <row r="6" spans="2:46" ht="65.25" customHeight="1" thickBot="1">
      <c r="B6" s="110" t="str">
        <f>+'[1]VERIFICACION DE LOS D. FINANCIE'!A2</f>
        <v>OBJETO: CONTRATAR EL SUMINISTRO DE MATERIAL BIBLIOGRAFICO (LIBROS) PARA LA BIBLIOTECA DE LA UNIVERSIDAD FRANCISCO JOSE DE CALDAS</v>
      </c>
      <c r="C6" s="111"/>
      <c r="D6" s="37"/>
      <c r="E6" s="113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</row>
    <row r="8" ht="13.5" thickBot="1"/>
    <row r="9" spans="1:46" s="36" customFormat="1" ht="24.75" customHeight="1" thickBot="1">
      <c r="A9" s="35"/>
      <c r="B9" s="125" t="s">
        <v>1</v>
      </c>
      <c r="C9" s="126"/>
      <c r="D9" s="101">
        <v>1</v>
      </c>
      <c r="E9" s="102"/>
      <c r="F9" s="103"/>
      <c r="G9" s="101">
        <f>+D9+1</f>
        <v>2</v>
      </c>
      <c r="H9" s="102"/>
      <c r="I9" s="103"/>
      <c r="J9" s="101">
        <f>+G9+1</f>
        <v>3</v>
      </c>
      <c r="K9" s="102"/>
      <c r="L9" s="103"/>
      <c r="M9" s="101">
        <f>+J9+1</f>
        <v>4</v>
      </c>
      <c r="N9" s="102"/>
      <c r="O9" s="103"/>
      <c r="P9" s="101">
        <f>+M9+1</f>
        <v>5</v>
      </c>
      <c r="Q9" s="102"/>
      <c r="R9" s="103"/>
      <c r="S9" s="101">
        <f>+P9+1</f>
        <v>6</v>
      </c>
      <c r="T9" s="102"/>
      <c r="U9" s="103"/>
      <c r="V9" s="101">
        <f>+S9+1</f>
        <v>7</v>
      </c>
      <c r="W9" s="102"/>
      <c r="X9" s="103"/>
      <c r="Y9" s="101">
        <f>+V9+1</f>
        <v>8</v>
      </c>
      <c r="Z9" s="102"/>
      <c r="AA9" s="103"/>
      <c r="AB9" s="101">
        <f>+Y9+1</f>
        <v>9</v>
      </c>
      <c r="AC9" s="102"/>
      <c r="AD9" s="103"/>
      <c r="AE9" s="101">
        <f>+AB9+1</f>
        <v>10</v>
      </c>
      <c r="AF9" s="102"/>
      <c r="AG9" s="103"/>
      <c r="AH9" s="101">
        <f>+AE9+1</f>
        <v>11</v>
      </c>
      <c r="AI9" s="102"/>
      <c r="AJ9" s="103"/>
      <c r="AK9" s="101">
        <f>+AH9+1</f>
        <v>12</v>
      </c>
      <c r="AL9" s="102"/>
      <c r="AM9" s="103"/>
      <c r="AN9" s="104">
        <f>+AK9+1</f>
        <v>13</v>
      </c>
      <c r="AO9" s="105"/>
      <c r="AP9" s="105"/>
      <c r="AQ9" s="106"/>
      <c r="AR9" s="98">
        <f>+AN9+1</f>
        <v>14</v>
      </c>
      <c r="AS9" s="99"/>
      <c r="AT9" s="100"/>
    </row>
    <row r="10" spans="2:46" ht="12.75" customHeight="1">
      <c r="B10" s="67" t="s">
        <v>2</v>
      </c>
      <c r="C10" s="115"/>
      <c r="D10" s="67" t="str">
        <f>+'[1]VERIFICACION DE LOS D. FINANCIE'!B5</f>
        <v>LIBRERÍA TECNICA DE INGENIERIA</v>
      </c>
      <c r="E10" s="68"/>
      <c r="F10" s="69"/>
      <c r="G10" s="67" t="str">
        <f>+'[1]VERIFICACION DE LOS D. FINANCIE'!E5</f>
        <v>P.O. BOX INTERNACIONAL LTDA.</v>
      </c>
      <c r="H10" s="68"/>
      <c r="I10" s="69"/>
      <c r="J10" s="67" t="str">
        <f>+'[1]VERIFICACION DE LOS D. FINANCIE'!H5</f>
        <v>LIBRERÍA DEL INGENIERO LTDA.</v>
      </c>
      <c r="K10" s="68"/>
      <c r="L10" s="69"/>
      <c r="M10" s="67" t="str">
        <f>+'[1]VERIFICACION DE LOS D. FINANCIE'!K5</f>
        <v>EDITORIAL HISPANO ANDINA</v>
      </c>
      <c r="N10" s="68"/>
      <c r="O10" s="69"/>
      <c r="P10" s="67" t="str">
        <f>+'[1]VERIFICACION DE LOS D. FINANCIE'!N5</f>
        <v>COMERCIALIZADORA Y SUMINISTROS LTDA.</v>
      </c>
      <c r="Q10" s="68"/>
      <c r="R10" s="69"/>
      <c r="S10" s="67" t="str">
        <f>+'[1]VERIFICACION DE LOS D. FINANCIE'!Q5</f>
        <v>EDITORIAL REVERTE COLOMBIANA S.A.</v>
      </c>
      <c r="T10" s="68"/>
      <c r="U10" s="69"/>
      <c r="V10" s="67" t="str">
        <f>+'[1]VERIFICACION DE LOS D. FINANCIE'!T5</f>
        <v>DISTRIBUIDORA COMERCIAL DIDACTICA LTDA.</v>
      </c>
      <c r="W10" s="68"/>
      <c r="X10" s="69"/>
      <c r="Y10" s="67" t="str">
        <f>+'[1]VERIFICACION DE LOS D. FINANCIE'!W5</f>
        <v>ALFAOMEGA COLOMBIANA S.A.</v>
      </c>
      <c r="Z10" s="68"/>
      <c r="AA10" s="69"/>
      <c r="AB10" s="67" t="str">
        <f>+'[1]VERIFICACION DE LOS D. FINANCIE'!Z5</f>
        <v>GRUPO KTDRA LTDA.</v>
      </c>
      <c r="AC10" s="68"/>
      <c r="AD10" s="69"/>
      <c r="AE10" s="67" t="str">
        <f>+'[1]VERIFICACION DE LOS D. FINANCIE'!AC5</f>
        <v>SIGLO DEL HOMBRE EDITORES S.A.</v>
      </c>
      <c r="AF10" s="68"/>
      <c r="AG10" s="69"/>
      <c r="AH10" s="67" t="str">
        <f>+'[1]VERIFICACION DE LOS D. FINANCIE'!AF5</f>
        <v>CIRCULO CULTURAL (GUERRERO VARGAS MARIA BERTILDA)</v>
      </c>
      <c r="AI10" s="68"/>
      <c r="AJ10" s="69"/>
      <c r="AK10" s="67" t="str">
        <f>+'[1]VERIFICACION DE LOS D. FINANCIE'!AI5</f>
        <v>GRUPO NORIEGA EDITORES DE COLOMBIA LTDA.</v>
      </c>
      <c r="AL10" s="68"/>
      <c r="AM10" s="69"/>
      <c r="AN10" s="67" t="str">
        <f>+'[1]VERIFICACION DE LOS D. FINANCIE'!AL5</f>
        <v>UNION TEMPORAL MAGISTERIO</v>
      </c>
      <c r="AO10" s="68"/>
      <c r="AP10" s="68"/>
      <c r="AQ10" s="69"/>
      <c r="AR10" s="67" t="str">
        <f>+'[1]VERIFICACION DE LOS D. FINANCIE'!AR5</f>
        <v>LIBRERÍA SOCIAL (LUIS GILBERTO CARRERO SALAZAR)</v>
      </c>
      <c r="AS10" s="68"/>
      <c r="AT10" s="69"/>
    </row>
    <row r="11" spans="2:46" ht="13.5" thickBot="1">
      <c r="B11" s="75"/>
      <c r="C11" s="116"/>
      <c r="D11" s="75"/>
      <c r="E11" s="76"/>
      <c r="F11" s="94"/>
      <c r="G11" s="75"/>
      <c r="H11" s="76"/>
      <c r="I11" s="94"/>
      <c r="J11" s="75"/>
      <c r="K11" s="76"/>
      <c r="L11" s="94"/>
      <c r="M11" s="75"/>
      <c r="N11" s="76"/>
      <c r="O11" s="94"/>
      <c r="P11" s="75"/>
      <c r="Q11" s="76"/>
      <c r="R11" s="94"/>
      <c r="S11" s="75"/>
      <c r="T11" s="76"/>
      <c r="U11" s="94"/>
      <c r="V11" s="75"/>
      <c r="W11" s="76"/>
      <c r="X11" s="94"/>
      <c r="Y11" s="75"/>
      <c r="Z11" s="76"/>
      <c r="AA11" s="94"/>
      <c r="AB11" s="75"/>
      <c r="AC11" s="76"/>
      <c r="AD11" s="94"/>
      <c r="AE11" s="75"/>
      <c r="AF11" s="76"/>
      <c r="AG11" s="94"/>
      <c r="AH11" s="75"/>
      <c r="AI11" s="76"/>
      <c r="AJ11" s="94"/>
      <c r="AK11" s="75"/>
      <c r="AL11" s="76"/>
      <c r="AM11" s="94"/>
      <c r="AN11" s="70"/>
      <c r="AO11" s="71"/>
      <c r="AP11" s="71"/>
      <c r="AQ11" s="72"/>
      <c r="AR11" s="75"/>
      <c r="AS11" s="76"/>
      <c r="AT11" s="94"/>
    </row>
    <row r="12" spans="2:46" ht="39" thickBot="1">
      <c r="B12" s="77"/>
      <c r="C12" s="117"/>
      <c r="D12" s="70"/>
      <c r="E12" s="71"/>
      <c r="F12" s="72"/>
      <c r="G12" s="70"/>
      <c r="H12" s="71"/>
      <c r="I12" s="72"/>
      <c r="J12" s="70"/>
      <c r="K12" s="71"/>
      <c r="L12" s="72"/>
      <c r="M12" s="70"/>
      <c r="N12" s="71"/>
      <c r="O12" s="72"/>
      <c r="P12" s="70"/>
      <c r="Q12" s="71"/>
      <c r="R12" s="72"/>
      <c r="S12" s="70"/>
      <c r="T12" s="71"/>
      <c r="U12" s="72"/>
      <c r="V12" s="70"/>
      <c r="W12" s="71"/>
      <c r="X12" s="72"/>
      <c r="Y12" s="70"/>
      <c r="Z12" s="71"/>
      <c r="AA12" s="72"/>
      <c r="AB12" s="70"/>
      <c r="AC12" s="71"/>
      <c r="AD12" s="72"/>
      <c r="AE12" s="70"/>
      <c r="AF12" s="71"/>
      <c r="AG12" s="72"/>
      <c r="AH12" s="70"/>
      <c r="AI12" s="71"/>
      <c r="AJ12" s="72"/>
      <c r="AK12" s="70"/>
      <c r="AL12" s="71"/>
      <c r="AM12" s="72"/>
      <c r="AN12" s="38" t="str">
        <f>+'[1]VERIFICACION DE LOS D. FINANCIE'!AL7</f>
        <v>COOPERATIVA EDITORIAL MAGISTERIO</v>
      </c>
      <c r="AO12" s="39" t="str">
        <f>+'[1]VERIFICACION DE LOS D. FINANCIE'!AO7</f>
        <v>EDITORIAL MAGISTERIO S.A.</v>
      </c>
      <c r="AP12" s="40"/>
      <c r="AQ12" s="41"/>
      <c r="AR12" s="70"/>
      <c r="AS12" s="71"/>
      <c r="AT12" s="72"/>
    </row>
    <row r="13" spans="1:46" s="3" customFormat="1" ht="25.5" customHeight="1" thickBot="1">
      <c r="A13" s="1"/>
      <c r="B13" s="73" t="s">
        <v>8</v>
      </c>
      <c r="C13" s="97"/>
      <c r="D13" s="95" t="s">
        <v>9</v>
      </c>
      <c r="E13" s="96"/>
      <c r="F13" s="97"/>
      <c r="G13" s="95" t="s">
        <v>9</v>
      </c>
      <c r="H13" s="96"/>
      <c r="I13" s="97"/>
      <c r="J13" s="95" t="s">
        <v>9</v>
      </c>
      <c r="K13" s="96"/>
      <c r="L13" s="97"/>
      <c r="M13" s="95" t="s">
        <v>9</v>
      </c>
      <c r="N13" s="96"/>
      <c r="O13" s="97"/>
      <c r="P13" s="95" t="s">
        <v>9</v>
      </c>
      <c r="Q13" s="96"/>
      <c r="R13" s="97"/>
      <c r="S13" s="95" t="s">
        <v>9</v>
      </c>
      <c r="T13" s="96"/>
      <c r="U13" s="97"/>
      <c r="V13" s="95" t="s">
        <v>9</v>
      </c>
      <c r="W13" s="96"/>
      <c r="X13" s="97"/>
      <c r="Y13" s="95" t="s">
        <v>9</v>
      </c>
      <c r="Z13" s="96"/>
      <c r="AA13" s="97"/>
      <c r="AB13" s="95" t="s">
        <v>9</v>
      </c>
      <c r="AC13" s="96"/>
      <c r="AD13" s="97"/>
      <c r="AE13" s="95" t="s">
        <v>9</v>
      </c>
      <c r="AF13" s="96"/>
      <c r="AG13" s="97"/>
      <c r="AH13" s="95" t="s">
        <v>9</v>
      </c>
      <c r="AI13" s="96"/>
      <c r="AJ13" s="97"/>
      <c r="AK13" s="95" t="s">
        <v>9</v>
      </c>
      <c r="AL13" s="96"/>
      <c r="AM13" s="97"/>
      <c r="AN13" s="42">
        <v>0.93</v>
      </c>
      <c r="AO13" s="42">
        <v>0.07</v>
      </c>
      <c r="AP13" s="43"/>
      <c r="AQ13" s="44"/>
      <c r="AR13" s="95" t="s">
        <v>9</v>
      </c>
      <c r="AS13" s="96"/>
      <c r="AT13" s="97"/>
    </row>
    <row r="14" spans="2:46" ht="13.5" thickBot="1">
      <c r="B14" s="5" t="s">
        <v>0</v>
      </c>
      <c r="C14" s="11" t="s">
        <v>10</v>
      </c>
      <c r="D14" s="5" t="s">
        <v>6</v>
      </c>
      <c r="E14" s="12" t="s">
        <v>5</v>
      </c>
      <c r="F14" s="13" t="s">
        <v>7</v>
      </c>
      <c r="G14" s="5" t="s">
        <v>6</v>
      </c>
      <c r="H14" s="28" t="s">
        <v>5</v>
      </c>
      <c r="I14" s="29" t="s">
        <v>7</v>
      </c>
      <c r="J14" s="5" t="s">
        <v>6</v>
      </c>
      <c r="K14" s="28" t="s">
        <v>5</v>
      </c>
      <c r="L14" s="29" t="s">
        <v>7</v>
      </c>
      <c r="M14" s="5" t="s">
        <v>6</v>
      </c>
      <c r="N14" s="28" t="s">
        <v>5</v>
      </c>
      <c r="O14" s="29" t="s">
        <v>7</v>
      </c>
      <c r="P14" s="5" t="s">
        <v>6</v>
      </c>
      <c r="Q14" s="28" t="s">
        <v>5</v>
      </c>
      <c r="R14" s="29" t="s">
        <v>7</v>
      </c>
      <c r="S14" s="5" t="s">
        <v>6</v>
      </c>
      <c r="T14" s="28" t="s">
        <v>5</v>
      </c>
      <c r="U14" s="29" t="s">
        <v>7</v>
      </c>
      <c r="V14" s="5" t="s">
        <v>6</v>
      </c>
      <c r="W14" s="28" t="s">
        <v>5</v>
      </c>
      <c r="X14" s="29" t="s">
        <v>7</v>
      </c>
      <c r="Y14" s="5" t="s">
        <v>6</v>
      </c>
      <c r="Z14" s="28" t="s">
        <v>5</v>
      </c>
      <c r="AA14" s="29" t="s">
        <v>7</v>
      </c>
      <c r="AB14" s="5" t="s">
        <v>6</v>
      </c>
      <c r="AC14" s="28" t="s">
        <v>5</v>
      </c>
      <c r="AD14" s="29" t="s">
        <v>7</v>
      </c>
      <c r="AE14" s="5" t="s">
        <v>6</v>
      </c>
      <c r="AF14" s="28" t="s">
        <v>5</v>
      </c>
      <c r="AG14" s="29" t="s">
        <v>7</v>
      </c>
      <c r="AH14" s="5" t="s">
        <v>6</v>
      </c>
      <c r="AI14" s="28" t="s">
        <v>5</v>
      </c>
      <c r="AJ14" s="29" t="s">
        <v>7</v>
      </c>
      <c r="AK14" s="5" t="s">
        <v>6</v>
      </c>
      <c r="AL14" s="28" t="s">
        <v>5</v>
      </c>
      <c r="AM14" s="29" t="s">
        <v>7</v>
      </c>
      <c r="AN14" s="4" t="s">
        <v>6</v>
      </c>
      <c r="AO14" s="4" t="s">
        <v>6</v>
      </c>
      <c r="AP14" s="28" t="s">
        <v>5</v>
      </c>
      <c r="AQ14" s="29" t="s">
        <v>7</v>
      </c>
      <c r="AR14" s="5" t="s">
        <v>6</v>
      </c>
      <c r="AS14" s="28" t="s">
        <v>5</v>
      </c>
      <c r="AT14" s="29" t="s">
        <v>7</v>
      </c>
    </row>
    <row r="15" spans="1:46" ht="31.5" customHeight="1">
      <c r="A15" s="33">
        <v>0.7</v>
      </c>
      <c r="B15" s="118" t="s">
        <v>33</v>
      </c>
      <c r="C15" s="6" t="s">
        <v>11</v>
      </c>
      <c r="D15" s="26">
        <v>418610.299</v>
      </c>
      <c r="E15" s="87">
        <f>+IF(D15="","",D15/D16)</f>
        <v>0.7418802127366619</v>
      </c>
      <c r="F15" s="112" t="str">
        <f>IF(E15&lt;=$A15,"CUMPLE","NO CUMPLE")</f>
        <v>NO CUMPLE</v>
      </c>
      <c r="G15" s="26">
        <v>107526.097</v>
      </c>
      <c r="H15" s="87">
        <f>+IF(G15="","",G15/G16)</f>
        <v>0.34474200624302886</v>
      </c>
      <c r="I15" s="89" t="str">
        <f>+IF(H15&lt;=$A15,"CUMPLE","NO CUMPLE")</f>
        <v>CUMPLE</v>
      </c>
      <c r="J15" s="26">
        <v>172100.903</v>
      </c>
      <c r="K15" s="87">
        <f>+IF(J15="","",J15/J16)</f>
        <v>0.21068970154509664</v>
      </c>
      <c r="L15" s="89" t="str">
        <f>+IF(K15&lt;=$A15,"CUMPLE","NO CUMPLE")</f>
        <v>CUMPLE</v>
      </c>
      <c r="M15" s="26">
        <v>467037.364</v>
      </c>
      <c r="N15" s="87">
        <f>+IF(M15="","",M15/M16)</f>
        <v>0.6485565161786908</v>
      </c>
      <c r="O15" s="89" t="str">
        <f>+IF(N15&lt;=$A15,"CUMPLE","NO CUMPLE")</f>
        <v>CUMPLE</v>
      </c>
      <c r="P15" s="26">
        <v>0</v>
      </c>
      <c r="Q15" s="87">
        <f>+IF(P15="","",P15/P16)</f>
        <v>0</v>
      </c>
      <c r="R15" s="112" t="str">
        <f>+IF(Q15&lt;=$A15,"CUMPLE","NO CUMPLE")</f>
        <v>CUMPLE</v>
      </c>
      <c r="S15" s="26">
        <v>110355</v>
      </c>
      <c r="T15" s="87">
        <f>+IF(S15="","",S15/S16)</f>
        <v>0.14240144937073929</v>
      </c>
      <c r="U15" s="89" t="str">
        <f>+IF(T15&lt;=$A15,"CUMPLE","NO CUMPLE")</f>
        <v>CUMPLE</v>
      </c>
      <c r="V15" s="26">
        <v>144708.747</v>
      </c>
      <c r="W15" s="87">
        <f>+IF(V15="","",V15/V16)</f>
        <v>0.47656137666893966</v>
      </c>
      <c r="X15" s="112" t="str">
        <f>+IF(W15&lt;=$A15,"CUMPLE","NO CUMPLE")</f>
        <v>CUMPLE</v>
      </c>
      <c r="Y15" s="26">
        <v>2388337</v>
      </c>
      <c r="Z15" s="87">
        <f>+IF(Y15="","",Y15/Y16)</f>
        <v>0.6269919213986983</v>
      </c>
      <c r="AA15" s="89" t="str">
        <f>+IF(Z15&lt;=$A15,"CUMPLE","NO CUMPLE")</f>
        <v>CUMPLE</v>
      </c>
      <c r="AB15" s="26">
        <v>782945.832</v>
      </c>
      <c r="AC15" s="87">
        <f>+IF(AB15="","",AB15/AB16)</f>
        <v>0.5742257903735506</v>
      </c>
      <c r="AD15" s="89" t="str">
        <f>+IF(AC15&lt;=$A15,"CUMPLE","NO CUMPLE")</f>
        <v>CUMPLE</v>
      </c>
      <c r="AE15" s="26">
        <v>1624781</v>
      </c>
      <c r="AF15" s="87">
        <f>+IF(AE15="","",AE15/AE16)</f>
        <v>0.5909194891876253</v>
      </c>
      <c r="AG15" s="89" t="str">
        <f>+IF(AF15&lt;=$A15,"CUMPLE","NO CUMPLE")</f>
        <v>CUMPLE</v>
      </c>
      <c r="AH15" s="26">
        <v>938182</v>
      </c>
      <c r="AI15" s="87">
        <f>+IF(AH15="","",AH15/AH16)</f>
        <v>0.6546142397725901</v>
      </c>
      <c r="AJ15" s="112" t="str">
        <f>+IF(AI15&lt;=$A15,"CUMPLE","NO CUMPLE")</f>
        <v>CUMPLE</v>
      </c>
      <c r="AK15" s="26">
        <v>1367625.5085</v>
      </c>
      <c r="AL15" s="87">
        <f>+IF(AK15="","",AK15/AK16)</f>
        <v>0.8302844036576775</v>
      </c>
      <c r="AM15" s="89" t="str">
        <f>+IF(AL15&lt;=$A15,"CUMPLE","NO CUMPLE")</f>
        <v>NO CUMPLE</v>
      </c>
      <c r="AN15" s="26">
        <v>1528765.974</v>
      </c>
      <c r="AO15" s="45">
        <v>59304.261</v>
      </c>
      <c r="AP15" s="87">
        <f>+IF(AN15="","",(((AN15*AN13)+(AO15*AO13))/((AN16*AN13)+(AO16*AO13))))</f>
        <v>0.6679357501884626</v>
      </c>
      <c r="AQ15" s="89" t="str">
        <f>IF(AP15&lt;=$A15,"CUMPLE","NO CUMPLE")</f>
        <v>CUMPLE</v>
      </c>
      <c r="AR15" s="26">
        <v>301.6</v>
      </c>
      <c r="AS15" s="87">
        <f>+IF(AR15="","",AR15/AR16)</f>
        <v>0.0018456078083407277</v>
      </c>
      <c r="AT15" s="89" t="str">
        <f>+IF(AS15&lt;=$A15,"CUMPLE","NO CUMPLE")</f>
        <v>CUMPLE</v>
      </c>
    </row>
    <row r="16" spans="2:46" ht="31.5" customHeight="1" thickBot="1">
      <c r="B16" s="119"/>
      <c r="C16" s="7" t="s">
        <v>12</v>
      </c>
      <c r="D16" s="18">
        <v>564255.916</v>
      </c>
      <c r="E16" s="88"/>
      <c r="F16" s="107"/>
      <c r="G16" s="18">
        <v>311903.09</v>
      </c>
      <c r="H16" s="88"/>
      <c r="I16" s="85"/>
      <c r="J16" s="18">
        <v>816845.35</v>
      </c>
      <c r="K16" s="88"/>
      <c r="L16" s="85"/>
      <c r="M16" s="18">
        <v>720118.22</v>
      </c>
      <c r="N16" s="88"/>
      <c r="O16" s="85"/>
      <c r="P16" s="18">
        <v>60008.43</v>
      </c>
      <c r="Q16" s="88"/>
      <c r="R16" s="107"/>
      <c r="S16" s="18">
        <v>774957</v>
      </c>
      <c r="T16" s="88"/>
      <c r="U16" s="85"/>
      <c r="V16" s="18">
        <v>303651.857</v>
      </c>
      <c r="W16" s="88"/>
      <c r="X16" s="107"/>
      <c r="Y16" s="18">
        <v>3809199</v>
      </c>
      <c r="Z16" s="88"/>
      <c r="AA16" s="85"/>
      <c r="AB16" s="18">
        <v>1363480.786</v>
      </c>
      <c r="AC16" s="88"/>
      <c r="AD16" s="85"/>
      <c r="AE16" s="18">
        <v>2749581</v>
      </c>
      <c r="AF16" s="88"/>
      <c r="AG16" s="85"/>
      <c r="AH16" s="18">
        <v>1433183</v>
      </c>
      <c r="AI16" s="88"/>
      <c r="AJ16" s="107"/>
      <c r="AK16" s="18">
        <v>1647177.163</v>
      </c>
      <c r="AL16" s="88"/>
      <c r="AM16" s="85"/>
      <c r="AN16" s="18">
        <v>2273099.644</v>
      </c>
      <c r="AO16" s="46">
        <v>297270.984</v>
      </c>
      <c r="AP16" s="88"/>
      <c r="AQ16" s="85"/>
      <c r="AR16" s="18">
        <v>163415</v>
      </c>
      <c r="AS16" s="88"/>
      <c r="AT16" s="85"/>
    </row>
    <row r="17" spans="1:46" ht="31.5" customHeight="1" hidden="1">
      <c r="A17" s="33">
        <v>0.3</v>
      </c>
      <c r="B17" s="120" t="s">
        <v>35</v>
      </c>
      <c r="C17" s="8" t="s">
        <v>13</v>
      </c>
      <c r="D17" s="18">
        <v>538411.899</v>
      </c>
      <c r="E17" s="90">
        <f>+IF(D17="","",D17-D18)</f>
        <v>177826.919</v>
      </c>
      <c r="F17" s="107" t="str">
        <f>+IF(E17&gt;=D$33,"CUMPLE"," NO CUMPLE")</f>
        <v>CUMPLE</v>
      </c>
      <c r="G17" s="18">
        <v>292237.311</v>
      </c>
      <c r="H17" s="90">
        <f>+IF(G17="","",G17-G18)</f>
        <v>184711.21399999998</v>
      </c>
      <c r="I17" s="85" t="str">
        <f>+IF(H17&gt;=G$33,"CUMPLE"," NO CUMPLE")</f>
        <v>CUMPLE</v>
      </c>
      <c r="J17" s="18">
        <v>482696</v>
      </c>
      <c r="K17" s="90">
        <f>+IF(J17="","",J17-J18)</f>
        <v>310595.097</v>
      </c>
      <c r="L17" s="85" t="str">
        <f>+IF(K17&gt;=J$33,"CUMPLE"," NO CUMPLE")</f>
        <v>CUMPLE</v>
      </c>
      <c r="M17" s="18">
        <v>718722.22</v>
      </c>
      <c r="N17" s="90">
        <f>+IF(M17="","",M17-M18)</f>
        <v>306869.311</v>
      </c>
      <c r="O17" s="85" t="str">
        <f>+IF(N17&gt;=M$33,"CUMPLE"," NO CUMPLE")</f>
        <v>CUMPLE</v>
      </c>
      <c r="P17" s="18">
        <v>52857.43</v>
      </c>
      <c r="Q17" s="90">
        <f>+IF(P17="","",P17-P18)</f>
        <v>52857.43</v>
      </c>
      <c r="R17" s="107" t="str">
        <f>+IF(Q17&gt;=P$33,"CUMPLE"," NO CUMPLE")</f>
        <v>CUMPLE</v>
      </c>
      <c r="S17" s="18">
        <v>761639</v>
      </c>
      <c r="T17" s="90">
        <f>+IF(S17="","",S17-S18)</f>
        <v>651284</v>
      </c>
      <c r="U17" s="85" t="str">
        <f>+IF(T17&gt;=S$33,"CUMPLE"," NO CUMPLE")</f>
        <v>CUMPLE</v>
      </c>
      <c r="V17" s="18">
        <v>290559.857</v>
      </c>
      <c r="W17" s="90">
        <f>+IF(V17="","",V17-V18)</f>
        <v>145851.11000000002</v>
      </c>
      <c r="X17" s="107" t="str">
        <f>+IF(W17&gt;=V$33,"CUMPLE"," NO CUMPLE")</f>
        <v>CUMPLE</v>
      </c>
      <c r="Y17" s="18">
        <v>3753848</v>
      </c>
      <c r="Z17" s="90">
        <f>+IF(Y17="","",Y17-Y18)</f>
        <v>1630249</v>
      </c>
      <c r="AA17" s="85" t="str">
        <f>+IF(Z17&gt;=Y$33,"CUMPLE"," NO CUMPLE")</f>
        <v>CUMPLE</v>
      </c>
      <c r="AB17" s="18">
        <v>1049430.352</v>
      </c>
      <c r="AC17" s="90">
        <f>+IF(AB17="","",AB17-AB18)</f>
        <v>389878.23399999994</v>
      </c>
      <c r="AD17" s="85" t="str">
        <f>+IF(AC17&gt;=AB$33,"CUMPLE"," NO CUMPLE")</f>
        <v>CUMPLE</v>
      </c>
      <c r="AE17" s="18">
        <v>2060515</v>
      </c>
      <c r="AF17" s="90">
        <f>+IF(AE17="","",AE17-AE18)</f>
        <v>643936</v>
      </c>
      <c r="AG17" s="85" t="str">
        <f>+IF(AF17&gt;=AE$33,"CUMPLE"," NO CUMPLE")</f>
        <v>CUMPLE</v>
      </c>
      <c r="AH17" s="18">
        <v>1166571</v>
      </c>
      <c r="AI17" s="90">
        <f>+IF(AH17="","",AH17-AH18)</f>
        <v>309394</v>
      </c>
      <c r="AJ17" s="107" t="str">
        <f>+IF(AI17&gt;=AH$33,"CUMPLE"," NO CUMPLE")</f>
        <v>CUMPLE</v>
      </c>
      <c r="AK17" s="18">
        <v>1636391.681</v>
      </c>
      <c r="AL17" s="90">
        <f>+IF(AK17="","",AK17-AK18)</f>
        <v>1539533.2820000001</v>
      </c>
      <c r="AM17" s="85" t="str">
        <f>+IF(AL17&gt;=AK$33,"CUMPLE"," NO CUMPLE")</f>
        <v>CUMPLE</v>
      </c>
      <c r="AN17" s="18">
        <v>1835064.177</v>
      </c>
      <c r="AO17" s="46">
        <v>179239.038</v>
      </c>
      <c r="AP17" s="90">
        <f>+IF(AN17="","",(((AN17*AN13)+(AO17*AO13))-((AN18*AN13)+(AO18*AO13))))</f>
        <v>367966.3015200002</v>
      </c>
      <c r="AQ17" s="85" t="str">
        <f>+IF(AP17&gt;=AO$32,"CUMPLE"," NO CUMPLE")</f>
        <v>CUMPLE</v>
      </c>
      <c r="AR17" s="18">
        <v>61315</v>
      </c>
      <c r="AS17" s="90">
        <f>+IF(AR17="","",AR17-AR18)</f>
        <v>61013.4</v>
      </c>
      <c r="AT17" s="85" t="str">
        <f>+IF(AS17&gt;=AR$33,"CUMPLE"," NO CUMPLE")</f>
        <v>CUMPLE</v>
      </c>
    </row>
    <row r="18" spans="2:46" ht="31.5" customHeight="1" hidden="1" thickBot="1">
      <c r="B18" s="119"/>
      <c r="C18" s="9" t="s">
        <v>14</v>
      </c>
      <c r="D18" s="18">
        <v>360584.98</v>
      </c>
      <c r="E18" s="90"/>
      <c r="F18" s="107"/>
      <c r="G18" s="18">
        <v>107526.097</v>
      </c>
      <c r="H18" s="90"/>
      <c r="I18" s="85"/>
      <c r="J18" s="18">
        <v>172100.903</v>
      </c>
      <c r="K18" s="90"/>
      <c r="L18" s="85"/>
      <c r="M18" s="18">
        <v>411852.909</v>
      </c>
      <c r="N18" s="90"/>
      <c r="O18" s="85"/>
      <c r="P18" s="18">
        <v>0</v>
      </c>
      <c r="Q18" s="90"/>
      <c r="R18" s="107"/>
      <c r="S18" s="18">
        <v>110355</v>
      </c>
      <c r="T18" s="90"/>
      <c r="U18" s="85"/>
      <c r="V18" s="18">
        <v>144708.747</v>
      </c>
      <c r="W18" s="90"/>
      <c r="X18" s="107"/>
      <c r="Y18" s="18">
        <v>2123599</v>
      </c>
      <c r="Z18" s="90"/>
      <c r="AA18" s="85"/>
      <c r="AB18" s="18">
        <v>659552.118</v>
      </c>
      <c r="AC18" s="90"/>
      <c r="AD18" s="85"/>
      <c r="AE18" s="18">
        <v>1416579</v>
      </c>
      <c r="AF18" s="90"/>
      <c r="AG18" s="85"/>
      <c r="AH18" s="18">
        <f>313570+543607</f>
        <v>857177</v>
      </c>
      <c r="AI18" s="90"/>
      <c r="AJ18" s="107"/>
      <c r="AK18" s="18">
        <v>96858.399</v>
      </c>
      <c r="AL18" s="90"/>
      <c r="AM18" s="85"/>
      <c r="AN18" s="18">
        <v>1448428.836</v>
      </c>
      <c r="AO18" s="46">
        <v>59304.261</v>
      </c>
      <c r="AP18" s="90"/>
      <c r="AQ18" s="85"/>
      <c r="AR18" s="47">
        <v>301.6</v>
      </c>
      <c r="AS18" s="90"/>
      <c r="AT18" s="85"/>
    </row>
    <row r="19" spans="1:46" ht="31.5" customHeight="1">
      <c r="A19" s="30">
        <v>1.3</v>
      </c>
      <c r="B19" s="121" t="s">
        <v>34</v>
      </c>
      <c r="C19" s="8" t="s">
        <v>13</v>
      </c>
      <c r="D19" s="18">
        <f>+D17</f>
        <v>538411.899</v>
      </c>
      <c r="E19" s="83">
        <f>+IF(D19="","",D19/D20)</f>
        <v>1.4931623025451588</v>
      </c>
      <c r="F19" s="107" t="str">
        <f>+IF(E19&gt;=1,"CUMPLE","NO CUMPLE")</f>
        <v>CUMPLE</v>
      </c>
      <c r="G19" s="18">
        <f>+G17</f>
        <v>292237.311</v>
      </c>
      <c r="H19" s="83">
        <f>+IF(G19="","",G19/G20)</f>
        <v>2.7178268267283987</v>
      </c>
      <c r="I19" s="85" t="str">
        <f>+IF(H19&gt;=1,"CUMPLE","NO CUMPLE")</f>
        <v>CUMPLE</v>
      </c>
      <c r="J19" s="18">
        <f>+J17</f>
        <v>482696</v>
      </c>
      <c r="K19" s="83">
        <f>+IF(J19="","",J19/J20)</f>
        <v>2.8047267131422315</v>
      </c>
      <c r="L19" s="85" t="str">
        <f>+IF(K19&gt;=1,"CUMPLE","NO CUMPLE")</f>
        <v>CUMPLE</v>
      </c>
      <c r="M19" s="18">
        <f>+M17</f>
        <v>718722.22</v>
      </c>
      <c r="N19" s="83">
        <f>+IF(M19="","",M19/M20)</f>
        <v>1.7450944361303515</v>
      </c>
      <c r="O19" s="85" t="str">
        <f>+IF(N19&gt;=1,"CUMPLE","NO CUMPLE")</f>
        <v>CUMPLE</v>
      </c>
      <c r="P19" s="18">
        <f>+P17</f>
        <v>52857.43</v>
      </c>
      <c r="Q19" s="83">
        <f>+IF(P19="","",P19/P20)</f>
        <v>52857.43</v>
      </c>
      <c r="R19" s="107" t="str">
        <f>+IF(Q19&gt;=1,"CUMPLE","NO CUMPLE")</f>
        <v>CUMPLE</v>
      </c>
      <c r="S19" s="18">
        <f>+S17</f>
        <v>761639</v>
      </c>
      <c r="T19" s="83">
        <f>+IF(S19="","",S19/S20)</f>
        <v>6.901717185446967</v>
      </c>
      <c r="U19" s="85" t="str">
        <f>+IF(T19&gt;=1,"CUMPLE","NO CUMPLE")</f>
        <v>CUMPLE</v>
      </c>
      <c r="V19" s="18">
        <f>+V17</f>
        <v>290559.857</v>
      </c>
      <c r="W19" s="83">
        <f>+IF(V19="","",V19/V20)</f>
        <v>2.007894222178567</v>
      </c>
      <c r="X19" s="107" t="str">
        <f>+IF(W19&gt;=1,"CUMPLE","NO CUMPLE")</f>
        <v>CUMPLE</v>
      </c>
      <c r="Y19" s="18">
        <f>+Y17</f>
        <v>3753848</v>
      </c>
      <c r="Z19" s="83">
        <f>+IF(Y19="","",Y19/Y20)</f>
        <v>1.7676821283114186</v>
      </c>
      <c r="AA19" s="85" t="str">
        <f>+IF(Z19&gt;=1,"CUMPLE","NO CUMPLE")</f>
        <v>CUMPLE</v>
      </c>
      <c r="AB19" s="18">
        <f>+AB17</f>
        <v>1049430.352</v>
      </c>
      <c r="AC19" s="83">
        <f>+IF(AB19="","",AB19/AB20)</f>
        <v>1.5911257402709151</v>
      </c>
      <c r="AD19" s="85" t="str">
        <f>+IF(AC19&gt;=1,"CUMPLE","NO CUMPLE")</f>
        <v>CUMPLE</v>
      </c>
      <c r="AE19" s="18">
        <f>+AE17</f>
        <v>2060515</v>
      </c>
      <c r="AF19" s="83">
        <f>+IF(AE19="","",AE19/AE20)</f>
        <v>1.454571188758269</v>
      </c>
      <c r="AG19" s="85" t="str">
        <f>+IF(AF19&gt;=1,"CUMPLE","NO CUMPLE")</f>
        <v>CUMPLE</v>
      </c>
      <c r="AH19" s="18">
        <f>+AH17</f>
        <v>1166571</v>
      </c>
      <c r="AI19" s="83">
        <f>+IF(AH19="","",AH19/AH20)</f>
        <v>1.3609452890126543</v>
      </c>
      <c r="AJ19" s="107" t="str">
        <f>+IF(AI19&gt;=1,"CUMPLE","NO CUMPLE")</f>
        <v>CUMPLE</v>
      </c>
      <c r="AK19" s="18">
        <f>+AK17</f>
        <v>1636391.681</v>
      </c>
      <c r="AL19" s="83">
        <f>+IF(AK19="","",AK19/AK20)</f>
        <v>16.89468025380019</v>
      </c>
      <c r="AM19" s="85" t="str">
        <f>+IF(AL19&gt;=1,"CUMPLE","NO CUMPLE")</f>
        <v>CUMPLE</v>
      </c>
      <c r="AN19" s="18">
        <f>+AN17</f>
        <v>1835064.177</v>
      </c>
      <c r="AO19" s="46">
        <f>+AO17</f>
        <v>179239.038</v>
      </c>
      <c r="AP19" s="83">
        <f>+IF(AN19="","",(((AN19*AN13)+(AO19*AO13))/((AN20*AN13)+(AO20*AO13))))</f>
        <v>1.272327555708735</v>
      </c>
      <c r="AQ19" s="85" t="str">
        <f>+IF(AP19&gt;=$A19,"CUMPLE","NO CUMPLE")</f>
        <v>NO CUMPLE</v>
      </c>
      <c r="AR19" s="18">
        <f>+AR17</f>
        <v>61315</v>
      </c>
      <c r="AS19" s="83">
        <f>+IF(AR19="","",AR19/AR20)</f>
        <v>203.29907161803712</v>
      </c>
      <c r="AT19" s="85" t="str">
        <f>+IF(AS19&gt;=1,"CUMPLE","NO CUMPLE")</f>
        <v>CUMPLE</v>
      </c>
    </row>
    <row r="20" spans="2:46" ht="31.5" customHeight="1" thickBot="1">
      <c r="B20" s="119"/>
      <c r="C20" s="9" t="s">
        <v>14</v>
      </c>
      <c r="D20" s="18">
        <f>+D18</f>
        <v>360584.98</v>
      </c>
      <c r="E20" s="83"/>
      <c r="F20" s="107"/>
      <c r="G20" s="18">
        <f>+G18</f>
        <v>107526.097</v>
      </c>
      <c r="H20" s="83"/>
      <c r="I20" s="85"/>
      <c r="J20" s="18">
        <f>+J18</f>
        <v>172100.903</v>
      </c>
      <c r="K20" s="83"/>
      <c r="L20" s="85"/>
      <c r="M20" s="47">
        <f>+M18</f>
        <v>411852.909</v>
      </c>
      <c r="N20" s="83"/>
      <c r="O20" s="85"/>
      <c r="P20" s="48">
        <v>1</v>
      </c>
      <c r="Q20" s="83"/>
      <c r="R20" s="107"/>
      <c r="S20" s="18">
        <f>+S18</f>
        <v>110355</v>
      </c>
      <c r="T20" s="83"/>
      <c r="U20" s="85"/>
      <c r="V20" s="18">
        <f>+V18</f>
        <v>144708.747</v>
      </c>
      <c r="W20" s="83"/>
      <c r="X20" s="107"/>
      <c r="Y20" s="18">
        <f>+Y18</f>
        <v>2123599</v>
      </c>
      <c r="Z20" s="83"/>
      <c r="AA20" s="85"/>
      <c r="AB20" s="18">
        <f>+AB18</f>
        <v>659552.118</v>
      </c>
      <c r="AC20" s="83"/>
      <c r="AD20" s="85"/>
      <c r="AE20" s="18">
        <f>+AE18</f>
        <v>1416579</v>
      </c>
      <c r="AF20" s="83"/>
      <c r="AG20" s="85"/>
      <c r="AH20" s="18">
        <f>+AH18</f>
        <v>857177</v>
      </c>
      <c r="AI20" s="83"/>
      <c r="AJ20" s="107"/>
      <c r="AK20" s="18">
        <f>+AK18</f>
        <v>96858.399</v>
      </c>
      <c r="AL20" s="83"/>
      <c r="AM20" s="85"/>
      <c r="AN20" s="27">
        <f>+AN18</f>
        <v>1448428.836</v>
      </c>
      <c r="AO20" s="49">
        <f>+AO18</f>
        <v>59304.261</v>
      </c>
      <c r="AP20" s="84"/>
      <c r="AQ20" s="86"/>
      <c r="AR20" s="18">
        <f>+AR18</f>
        <v>301.6</v>
      </c>
      <c r="AS20" s="83"/>
      <c r="AT20" s="85"/>
    </row>
    <row r="21" spans="1:46" ht="34.5" customHeight="1" hidden="1">
      <c r="A21" s="50">
        <v>1.5</v>
      </c>
      <c r="B21" s="122" t="s">
        <v>36</v>
      </c>
      <c r="C21" s="10" t="s">
        <v>37</v>
      </c>
      <c r="D21" s="18">
        <f>+D$29/1000</f>
        <v>0</v>
      </c>
      <c r="E21" s="123">
        <f>+IF(D21="","",D21/D22)</f>
        <v>0</v>
      </c>
      <c r="F21" s="81" t="str">
        <f>+IF(E21&lt;=$A$21,"CUMPLE","NO CUMPLE")</f>
        <v>CUMPLE</v>
      </c>
      <c r="G21" s="18">
        <f>+G$29/1000</f>
        <v>0</v>
      </c>
      <c r="H21" s="79">
        <f>+IF(G21="","",G21/G22)</f>
        <v>0</v>
      </c>
      <c r="I21" s="81" t="str">
        <f>+IF(H21&lt;=$A$21,"CUMPLE","NO CUMPLE")</f>
        <v>CUMPLE</v>
      </c>
      <c r="J21" s="18">
        <f>+J$29/1000</f>
        <v>0</v>
      </c>
      <c r="K21" s="79">
        <f>+IF(J21="","",J21/J22)</f>
        <v>0</v>
      </c>
      <c r="L21" s="81" t="str">
        <f>+IF(K21&lt;=$A$21,"CUMPLE","NO CUMPLE")</f>
        <v>CUMPLE</v>
      </c>
      <c r="M21" s="18">
        <f>+M$29/1000</f>
        <v>0</v>
      </c>
      <c r="N21" s="79">
        <f>+IF(M21="","",M21/M22)</f>
        <v>0</v>
      </c>
      <c r="O21" s="81" t="str">
        <f>+IF(N21&lt;=$A$21,"CUMPLE","NO CUMPLE")</f>
        <v>CUMPLE</v>
      </c>
      <c r="P21" s="18">
        <f>+P$29/1000</f>
        <v>0</v>
      </c>
      <c r="Q21" s="79">
        <f>+IF(P21="","",P21/P22)</f>
        <v>0</v>
      </c>
      <c r="R21" s="81" t="str">
        <f>+IF(Q21&lt;=$A$21,"CUMPLE","NO CUMPLE")</f>
        <v>CUMPLE</v>
      </c>
      <c r="S21" s="18">
        <f>+S$29/1000</f>
        <v>0</v>
      </c>
      <c r="T21" s="79">
        <f>+IF(S21="","",S21/S22)</f>
        <v>0</v>
      </c>
      <c r="U21" s="81" t="str">
        <f>+IF(T21&lt;=$A$21,"CUMPLE","NO CUMPLE")</f>
        <v>CUMPLE</v>
      </c>
      <c r="V21" s="18">
        <f>+V$29/1000</f>
        <v>0</v>
      </c>
      <c r="W21" s="79">
        <f>+IF(V21="","",V21/V22)</f>
        <v>0</v>
      </c>
      <c r="X21" s="81" t="str">
        <f>+IF(W21&lt;=$A$21,"CUMPLE","NO CUMPLE")</f>
        <v>CUMPLE</v>
      </c>
      <c r="Y21" s="18">
        <f>+Y$29/1000</f>
        <v>0</v>
      </c>
      <c r="Z21" s="79">
        <f>+IF(Y21="","",Y21/Y22)</f>
        <v>0</v>
      </c>
      <c r="AA21" s="81" t="str">
        <f>+IF(Z21&lt;=$A$21,"CUMPLE","NO CUMPLE")</f>
        <v>CUMPLE</v>
      </c>
      <c r="AB21" s="18">
        <f>+AB$29/1000</f>
        <v>0</v>
      </c>
      <c r="AC21" s="79">
        <f>+IF(AB21="","",AB21/AB22)</f>
        <v>0</v>
      </c>
      <c r="AD21" s="81" t="str">
        <f>+IF(AC21&lt;=$A$21,"CUMPLE","NO CUMPLE")</f>
        <v>CUMPLE</v>
      </c>
      <c r="AE21" s="18">
        <f>+AE$29/1000</f>
        <v>0</v>
      </c>
      <c r="AF21" s="79">
        <f>+IF(AE21="","",AE21/AE22)</f>
        <v>0</v>
      </c>
      <c r="AG21" s="81" t="str">
        <f>+IF(AF21&lt;=$A$21,"CUMPLE","NO CUMPLE")</f>
        <v>CUMPLE</v>
      </c>
      <c r="AH21" s="18">
        <f>+AH$29/1000</f>
        <v>0</v>
      </c>
      <c r="AI21" s="79">
        <f>+IF(AH21="","",AH21/AH22)</f>
        <v>0</v>
      </c>
      <c r="AJ21" s="81" t="str">
        <f>+IF(AI21&lt;=$A$21,"CUMPLE","NO CUMPLE")</f>
        <v>CUMPLE</v>
      </c>
      <c r="AK21" s="18">
        <f>+AK$29/1000</f>
        <v>0</v>
      </c>
      <c r="AL21" s="79">
        <f>+IF(AK21="","",AK21/AK22)</f>
        <v>0</v>
      </c>
      <c r="AM21" s="81" t="str">
        <f>+IF(AL21&lt;=$A$21,"CUMPLE","NO CUMPLE")</f>
        <v>CUMPLE</v>
      </c>
      <c r="AN21" s="18">
        <f>+AO29/1000</f>
        <v>0</v>
      </c>
      <c r="AO21" s="46">
        <f>+AO29/1000</f>
        <v>0</v>
      </c>
      <c r="AP21" s="83">
        <f>+IF(AN21="","",(((AN21*AN13)+(AO21*AO13))/((AN22*AN13)+(AO22*AO13))))</f>
        <v>0</v>
      </c>
      <c r="AQ21" s="85" t="str">
        <f>+IF(AP21&lt;=$A21,"CUMPLE","NO CUMPLE")</f>
        <v>CUMPLE</v>
      </c>
      <c r="AR21" s="18">
        <f>+AR$29/1000</f>
        <v>0</v>
      </c>
      <c r="AS21" s="79">
        <f>+IF(AR21="","",AR21/AR22)</f>
        <v>0</v>
      </c>
      <c r="AT21" s="81" t="str">
        <f>+IF(AS21&lt;=$A$21,"CUMPLE","NO CUMPLE")</f>
        <v>CUMPLE</v>
      </c>
    </row>
    <row r="22" spans="2:46" ht="31.5" customHeight="1" hidden="1" thickBot="1">
      <c r="B22" s="119"/>
      <c r="C22" s="9" t="s">
        <v>15</v>
      </c>
      <c r="D22" s="27">
        <f>+D16-D15</f>
        <v>145645.61699999997</v>
      </c>
      <c r="E22" s="124"/>
      <c r="F22" s="82"/>
      <c r="G22" s="27">
        <f>+G16-G15</f>
        <v>204376.99300000002</v>
      </c>
      <c r="H22" s="80"/>
      <c r="I22" s="82"/>
      <c r="J22" s="27">
        <f>+J16-J15</f>
        <v>644744.4469999999</v>
      </c>
      <c r="K22" s="80"/>
      <c r="L22" s="82"/>
      <c r="M22" s="27">
        <f>+M16-M15</f>
        <v>253080.85599999997</v>
      </c>
      <c r="N22" s="80"/>
      <c r="O22" s="82"/>
      <c r="P22" s="27">
        <f>+P16-P15</f>
        <v>60008.43</v>
      </c>
      <c r="Q22" s="80"/>
      <c r="R22" s="82"/>
      <c r="S22" s="27">
        <f>+S16-S15</f>
        <v>664602</v>
      </c>
      <c r="T22" s="80"/>
      <c r="U22" s="82"/>
      <c r="V22" s="27">
        <f>+V16-V15</f>
        <v>158943.11000000002</v>
      </c>
      <c r="W22" s="80"/>
      <c r="X22" s="82"/>
      <c r="Y22" s="27">
        <f>+Y16-Y15</f>
        <v>1420862</v>
      </c>
      <c r="Z22" s="80"/>
      <c r="AA22" s="82"/>
      <c r="AB22" s="27">
        <f>+AB16-AB15</f>
        <v>580534.954</v>
      </c>
      <c r="AC22" s="80"/>
      <c r="AD22" s="82"/>
      <c r="AE22" s="27">
        <f>+AE16-AE15</f>
        <v>1124800</v>
      </c>
      <c r="AF22" s="80"/>
      <c r="AG22" s="82"/>
      <c r="AH22" s="27">
        <f>+AH16-AH15</f>
        <v>495001</v>
      </c>
      <c r="AI22" s="80"/>
      <c r="AJ22" s="82"/>
      <c r="AK22" s="27">
        <f>+AK16-AK15</f>
        <v>279551.65449999995</v>
      </c>
      <c r="AL22" s="80"/>
      <c r="AM22" s="82"/>
      <c r="AN22" s="27">
        <f>+AN16-AN15</f>
        <v>744333.6699999999</v>
      </c>
      <c r="AO22" s="49">
        <f>+AO16-AO15</f>
        <v>237966.723</v>
      </c>
      <c r="AP22" s="84"/>
      <c r="AQ22" s="86"/>
      <c r="AR22" s="27">
        <f>+AR16-AR15</f>
        <v>163113.4</v>
      </c>
      <c r="AS22" s="80"/>
      <c r="AT22" s="82"/>
    </row>
    <row r="23" spans="2:46" ht="27" customHeight="1" thickBot="1">
      <c r="B23" s="34" t="s">
        <v>3</v>
      </c>
      <c r="C23" s="34"/>
      <c r="D23" s="73" t="str">
        <f>IF(F36=TRUE,"CUMPLE","NO CUMPLE")</f>
        <v>NO CUMPLE</v>
      </c>
      <c r="E23" s="74"/>
      <c r="F23" s="78"/>
      <c r="G23" s="91" t="str">
        <f>IF(I36=TRUE,"CUMPLE","NO CUMPLE")</f>
        <v>CUMPLE</v>
      </c>
      <c r="H23" s="92"/>
      <c r="I23" s="93"/>
      <c r="J23" s="91" t="str">
        <f>IF(L36=TRUE,"CUMPLE","NO CUMPLE")</f>
        <v>CUMPLE</v>
      </c>
      <c r="K23" s="92"/>
      <c r="L23" s="93"/>
      <c r="M23" s="91" t="str">
        <f>IF(O36=TRUE,"CUMPLE","NO CUMPLE")</f>
        <v>CUMPLE</v>
      </c>
      <c r="N23" s="92"/>
      <c r="O23" s="93"/>
      <c r="P23" s="91" t="str">
        <f>IF(R36=TRUE,"CUMPLE","NO CUMPLE")</f>
        <v>CUMPLE</v>
      </c>
      <c r="Q23" s="92"/>
      <c r="R23" s="93"/>
      <c r="S23" s="91" t="str">
        <f>IF(U36=TRUE,"CUMPLE","NO CUMPLE")</f>
        <v>CUMPLE</v>
      </c>
      <c r="T23" s="92"/>
      <c r="U23" s="93"/>
      <c r="V23" s="91" t="str">
        <f>IF(X36=TRUE,"CUMPLE","NO CUMPLE")</f>
        <v>CUMPLE</v>
      </c>
      <c r="W23" s="92"/>
      <c r="X23" s="93"/>
      <c r="Y23" s="91" t="str">
        <f>IF(AA36=TRUE,"CUMPLE","NO CUMPLE")</f>
        <v>CUMPLE</v>
      </c>
      <c r="Z23" s="92"/>
      <c r="AA23" s="93"/>
      <c r="AB23" s="91" t="str">
        <f>IF(AD36=TRUE,"CUMPLE","NO CUMPLE")</f>
        <v>CUMPLE</v>
      </c>
      <c r="AC23" s="92"/>
      <c r="AD23" s="93"/>
      <c r="AE23" s="91" t="str">
        <f>IF(AG36=TRUE,"CUMPLE","NO CUMPLE")</f>
        <v>CUMPLE</v>
      </c>
      <c r="AF23" s="92"/>
      <c r="AG23" s="93"/>
      <c r="AH23" s="91" t="str">
        <f>IF(AJ36=TRUE,"CUMPLE","NO CUMPLE")</f>
        <v>CUMPLE</v>
      </c>
      <c r="AI23" s="92"/>
      <c r="AJ23" s="93"/>
      <c r="AK23" s="73" t="str">
        <f>IF(AM36=TRUE,"CUMPLE","NO CUMPLE")</f>
        <v>NO CUMPLE</v>
      </c>
      <c r="AL23" s="74"/>
      <c r="AM23" s="78"/>
      <c r="AN23" s="73" t="str">
        <f>IF(AQ36=TRUE,"CUMPLE","NO CUMPLE")</f>
        <v>NO CUMPLE</v>
      </c>
      <c r="AO23" s="74"/>
      <c r="AP23" s="74"/>
      <c r="AQ23" s="78"/>
      <c r="AR23" s="91" t="str">
        <f>IF(AT36=TRUE,"CUMPLE","NO CUMPLE")</f>
        <v>CUMPLE</v>
      </c>
      <c r="AS23" s="92"/>
      <c r="AT23" s="93"/>
    </row>
    <row r="25" spans="2:46" ht="16.5">
      <c r="B25" s="51">
        <v>1</v>
      </c>
      <c r="C25" s="52">
        <v>0</v>
      </c>
      <c r="D25" s="53">
        <v>0</v>
      </c>
      <c r="E25" s="54"/>
      <c r="F25" s="54"/>
      <c r="G25" s="53">
        <v>0</v>
      </c>
      <c r="H25" s="54"/>
      <c r="I25" s="54"/>
      <c r="J25" s="53">
        <v>0</v>
      </c>
      <c r="K25" s="54"/>
      <c r="L25" s="54"/>
      <c r="M25" s="53">
        <v>0</v>
      </c>
      <c r="N25" s="54"/>
      <c r="O25" s="54"/>
      <c r="P25" s="53">
        <v>0</v>
      </c>
      <c r="Q25" s="54"/>
      <c r="R25" s="54"/>
      <c r="S25" s="53">
        <v>0</v>
      </c>
      <c r="T25" s="54"/>
      <c r="U25" s="54"/>
      <c r="V25" s="53">
        <v>0</v>
      </c>
      <c r="W25" s="54"/>
      <c r="X25" s="54"/>
      <c r="Y25" s="53">
        <v>0</v>
      </c>
      <c r="Z25" s="54"/>
      <c r="AA25" s="54"/>
      <c r="AB25" s="53">
        <v>0</v>
      </c>
      <c r="AC25" s="54"/>
      <c r="AD25" s="54"/>
      <c r="AE25" s="53">
        <v>0</v>
      </c>
      <c r="AF25" s="54"/>
      <c r="AG25" s="54"/>
      <c r="AH25" s="53">
        <v>0</v>
      </c>
      <c r="AI25" s="54"/>
      <c r="AJ25" s="54"/>
      <c r="AK25" s="53">
        <v>0</v>
      </c>
      <c r="AL25" s="54"/>
      <c r="AM25" s="54"/>
      <c r="AN25" s="54"/>
      <c r="AO25" s="53">
        <v>0</v>
      </c>
      <c r="AP25" s="54"/>
      <c r="AQ25" s="54"/>
      <c r="AR25" s="53">
        <v>0</v>
      </c>
      <c r="AS25" s="54"/>
      <c r="AT25" s="54"/>
    </row>
    <row r="26" spans="2:46" ht="16.5">
      <c r="B26" s="51">
        <v>2</v>
      </c>
      <c r="C26" s="52">
        <v>0</v>
      </c>
      <c r="D26" s="53">
        <v>0</v>
      </c>
      <c r="E26" s="54"/>
      <c r="F26" s="54"/>
      <c r="G26" s="53">
        <v>0</v>
      </c>
      <c r="H26" s="54"/>
      <c r="I26" s="54"/>
      <c r="J26" s="53">
        <v>0</v>
      </c>
      <c r="K26" s="54"/>
      <c r="L26" s="54"/>
      <c r="M26" s="53">
        <v>0</v>
      </c>
      <c r="N26" s="54"/>
      <c r="O26" s="54"/>
      <c r="P26" s="53">
        <v>0</v>
      </c>
      <c r="Q26" s="54"/>
      <c r="R26" s="54"/>
      <c r="S26" s="53">
        <v>0</v>
      </c>
      <c r="T26" s="54"/>
      <c r="U26" s="54"/>
      <c r="V26" s="53">
        <v>0</v>
      </c>
      <c r="W26" s="54"/>
      <c r="X26" s="54"/>
      <c r="Y26" s="53">
        <v>0</v>
      </c>
      <c r="Z26" s="54"/>
      <c r="AA26" s="54"/>
      <c r="AB26" s="53">
        <v>0</v>
      </c>
      <c r="AC26" s="54"/>
      <c r="AD26" s="54"/>
      <c r="AE26" s="53">
        <v>0</v>
      </c>
      <c r="AF26" s="54"/>
      <c r="AG26" s="54"/>
      <c r="AH26" s="53">
        <v>0</v>
      </c>
      <c r="AI26" s="54"/>
      <c r="AJ26" s="54"/>
      <c r="AK26" s="53">
        <v>0</v>
      </c>
      <c r="AL26" s="54"/>
      <c r="AM26" s="54"/>
      <c r="AN26" s="54"/>
      <c r="AO26" s="53">
        <v>0</v>
      </c>
      <c r="AP26" s="54"/>
      <c r="AQ26" s="54"/>
      <c r="AR26" s="53">
        <v>0</v>
      </c>
      <c r="AS26" s="54"/>
      <c r="AT26" s="54"/>
    </row>
    <row r="27" spans="2:46" ht="16.5">
      <c r="B27" s="51">
        <v>3</v>
      </c>
      <c r="C27" s="52">
        <v>0</v>
      </c>
      <c r="D27" s="53">
        <v>0</v>
      </c>
      <c r="E27" s="54"/>
      <c r="F27" s="54"/>
      <c r="G27" s="53">
        <v>0</v>
      </c>
      <c r="H27" s="54"/>
      <c r="I27" s="54"/>
      <c r="J27" s="53">
        <v>0</v>
      </c>
      <c r="K27" s="54"/>
      <c r="L27" s="54"/>
      <c r="M27" s="53">
        <v>0</v>
      </c>
      <c r="N27" s="54"/>
      <c r="O27" s="54"/>
      <c r="P27" s="53">
        <v>0</v>
      </c>
      <c r="Q27" s="54"/>
      <c r="R27" s="54"/>
      <c r="S27" s="53">
        <v>0</v>
      </c>
      <c r="T27" s="54"/>
      <c r="U27" s="54"/>
      <c r="V27" s="53">
        <v>0</v>
      </c>
      <c r="W27" s="54"/>
      <c r="X27" s="54"/>
      <c r="Y27" s="53">
        <v>0</v>
      </c>
      <c r="Z27" s="54"/>
      <c r="AA27" s="54"/>
      <c r="AB27" s="53">
        <v>0</v>
      </c>
      <c r="AC27" s="54"/>
      <c r="AD27" s="54"/>
      <c r="AE27" s="53">
        <v>0</v>
      </c>
      <c r="AF27" s="54"/>
      <c r="AG27" s="54"/>
      <c r="AH27" s="53">
        <v>0</v>
      </c>
      <c r="AI27" s="54"/>
      <c r="AJ27" s="54"/>
      <c r="AK27" s="53">
        <v>0</v>
      </c>
      <c r="AL27" s="54"/>
      <c r="AM27" s="54"/>
      <c r="AN27" s="54"/>
      <c r="AO27" s="53">
        <v>0</v>
      </c>
      <c r="AP27" s="54"/>
      <c r="AQ27" s="54"/>
      <c r="AR27" s="53">
        <v>0</v>
      </c>
      <c r="AS27" s="54"/>
      <c r="AT27" s="54"/>
    </row>
    <row r="28" spans="2:46" ht="16.5">
      <c r="B28" s="51">
        <v>4</v>
      </c>
      <c r="C28" s="52">
        <v>0</v>
      </c>
      <c r="D28" s="53">
        <v>0</v>
      </c>
      <c r="E28" s="54"/>
      <c r="F28" s="54"/>
      <c r="G28" s="53">
        <v>0</v>
      </c>
      <c r="H28" s="54"/>
      <c r="I28" s="54"/>
      <c r="J28" s="53">
        <v>0</v>
      </c>
      <c r="K28" s="54"/>
      <c r="L28" s="54"/>
      <c r="M28" s="53">
        <v>0</v>
      </c>
      <c r="N28" s="54"/>
      <c r="O28" s="54"/>
      <c r="P28" s="53">
        <v>0</v>
      </c>
      <c r="Q28" s="54"/>
      <c r="R28" s="54"/>
      <c r="S28" s="53">
        <v>0</v>
      </c>
      <c r="T28" s="54"/>
      <c r="U28" s="54"/>
      <c r="V28" s="53">
        <v>0</v>
      </c>
      <c r="W28" s="54"/>
      <c r="X28" s="54"/>
      <c r="Y28" s="53">
        <v>0</v>
      </c>
      <c r="Z28" s="54"/>
      <c r="AA28" s="54"/>
      <c r="AB28" s="53">
        <v>0</v>
      </c>
      <c r="AC28" s="54"/>
      <c r="AD28" s="54"/>
      <c r="AE28" s="53">
        <v>0</v>
      </c>
      <c r="AF28" s="54"/>
      <c r="AG28" s="54"/>
      <c r="AH28" s="53">
        <v>0</v>
      </c>
      <c r="AI28" s="54"/>
      <c r="AJ28" s="54"/>
      <c r="AK28" s="53">
        <v>0</v>
      </c>
      <c r="AL28" s="54"/>
      <c r="AM28" s="54"/>
      <c r="AN28" s="54"/>
      <c r="AO28" s="53">
        <v>0</v>
      </c>
      <c r="AP28" s="54"/>
      <c r="AQ28" s="54"/>
      <c r="AR28" s="53">
        <v>0</v>
      </c>
      <c r="AS28" s="54"/>
      <c r="AT28" s="54"/>
    </row>
    <row r="29" spans="2:46" ht="12.75">
      <c r="B29" s="55" t="s">
        <v>38</v>
      </c>
      <c r="C29" s="56">
        <f>SUM(C25:C28)</f>
        <v>0</v>
      </c>
      <c r="D29" s="57">
        <f>SUM(D25:D28)</f>
        <v>0</v>
      </c>
      <c r="E29" s="54"/>
      <c r="F29" s="54"/>
      <c r="G29" s="57">
        <f>SUM(G25:G28)</f>
        <v>0</v>
      </c>
      <c r="H29" s="54"/>
      <c r="I29" s="54"/>
      <c r="J29" s="57">
        <f>SUM(J25:J28)</f>
        <v>0</v>
      </c>
      <c r="K29" s="54"/>
      <c r="L29" s="54"/>
      <c r="M29" s="57">
        <f>SUM(M25:M28)</f>
        <v>0</v>
      </c>
      <c r="N29" s="54"/>
      <c r="O29" s="54"/>
      <c r="P29" s="57">
        <f>SUM(P25:P28)</f>
        <v>0</v>
      </c>
      <c r="Q29" s="54"/>
      <c r="R29" s="54"/>
      <c r="S29" s="57">
        <f>SUM(S25:S28)</f>
        <v>0</v>
      </c>
      <c r="T29" s="54"/>
      <c r="U29" s="54"/>
      <c r="V29" s="57">
        <f>SUM(V25:V28)</f>
        <v>0</v>
      </c>
      <c r="W29" s="54"/>
      <c r="X29" s="54"/>
      <c r="Y29" s="57">
        <f>SUM(Y25:Y28)</f>
        <v>0</v>
      </c>
      <c r="Z29" s="54"/>
      <c r="AA29" s="54"/>
      <c r="AB29" s="57">
        <f>SUM(AB25:AB28)</f>
        <v>0</v>
      </c>
      <c r="AC29" s="54"/>
      <c r="AD29" s="54"/>
      <c r="AE29" s="57">
        <f>SUM(AE25:AE28)</f>
        <v>0</v>
      </c>
      <c r="AF29" s="54"/>
      <c r="AG29" s="54"/>
      <c r="AH29" s="57">
        <f>SUM(AH25:AH28)</f>
        <v>0</v>
      </c>
      <c r="AI29" s="54"/>
      <c r="AJ29" s="54"/>
      <c r="AK29" s="57">
        <f>SUM(AK25:AK28)</f>
        <v>0</v>
      </c>
      <c r="AL29" s="54"/>
      <c r="AM29" s="54"/>
      <c r="AN29" s="57"/>
      <c r="AO29" s="57">
        <f>SUM(AO25:AO28)</f>
        <v>0</v>
      </c>
      <c r="AP29" s="57"/>
      <c r="AQ29" s="57"/>
      <c r="AR29" s="57">
        <f>SUM(AR25:AR28)</f>
        <v>0</v>
      </c>
      <c r="AS29" s="54"/>
      <c r="AT29" s="54"/>
    </row>
    <row r="30" spans="2:46" ht="12.75">
      <c r="B30" s="58"/>
      <c r="C30" s="58"/>
      <c r="D30" s="58"/>
      <c r="E30" s="54"/>
      <c r="F30" s="54"/>
      <c r="G30" s="58"/>
      <c r="H30" s="54"/>
      <c r="I30" s="54"/>
      <c r="J30" s="58"/>
      <c r="K30" s="54"/>
      <c r="L30" s="54"/>
      <c r="M30" s="58"/>
      <c r="N30" s="54"/>
      <c r="O30" s="54"/>
      <c r="P30" s="58"/>
      <c r="Q30" s="54"/>
      <c r="R30" s="54"/>
      <c r="S30" s="58"/>
      <c r="T30" s="54"/>
      <c r="U30" s="54"/>
      <c r="V30" s="58"/>
      <c r="W30" s="54"/>
      <c r="X30" s="54"/>
      <c r="Y30" s="58"/>
      <c r="Z30" s="54"/>
      <c r="AA30" s="54"/>
      <c r="AB30" s="58"/>
      <c r="AC30" s="54"/>
      <c r="AD30" s="54"/>
      <c r="AE30" s="58"/>
      <c r="AF30" s="54"/>
      <c r="AG30" s="54"/>
      <c r="AH30" s="58"/>
      <c r="AI30" s="54"/>
      <c r="AJ30" s="54"/>
      <c r="AK30" s="58"/>
      <c r="AL30" s="54"/>
      <c r="AM30" s="54"/>
      <c r="AN30" s="54"/>
      <c r="AO30" s="58"/>
      <c r="AP30" s="54"/>
      <c r="AQ30" s="54"/>
      <c r="AR30" s="58"/>
      <c r="AS30" s="54"/>
      <c r="AT30" s="54"/>
    </row>
    <row r="31" spans="2:46" ht="12.75">
      <c r="B31" s="58"/>
      <c r="C31" s="58"/>
      <c r="E31" s="54"/>
      <c r="F31" s="59"/>
      <c r="G31" s="2"/>
      <c r="H31" s="59"/>
      <c r="I31" s="59"/>
      <c r="J31" s="2"/>
      <c r="K31" s="59"/>
      <c r="L31" s="59"/>
      <c r="M31" s="2"/>
      <c r="N31" s="59"/>
      <c r="O31" s="59"/>
      <c r="P31" s="2"/>
      <c r="Q31" s="59"/>
      <c r="R31" s="59"/>
      <c r="S31" s="2"/>
      <c r="T31" s="59"/>
      <c r="U31" s="59"/>
      <c r="V31" s="2"/>
      <c r="W31" s="59"/>
      <c r="X31" s="59"/>
      <c r="Y31" s="2"/>
      <c r="Z31" s="59"/>
      <c r="AA31" s="59"/>
      <c r="AB31" s="2"/>
      <c r="AC31" s="59"/>
      <c r="AD31" s="59"/>
      <c r="AE31" s="2"/>
      <c r="AF31" s="59"/>
      <c r="AG31" s="59"/>
      <c r="AH31" s="2"/>
      <c r="AI31" s="59"/>
      <c r="AJ31" s="59"/>
      <c r="AK31" s="2"/>
      <c r="AL31" s="59"/>
      <c r="AM31" s="59"/>
      <c r="AN31" s="57"/>
      <c r="AP31" s="57"/>
      <c r="AQ31" s="57"/>
      <c r="AR31" s="2"/>
      <c r="AS31" s="59"/>
      <c r="AT31" s="59"/>
    </row>
    <row r="32" spans="2:46" ht="12.75">
      <c r="B32" s="60">
        <f>+A17</f>
        <v>0.3</v>
      </c>
      <c r="C32" s="58"/>
      <c r="D32" s="59">
        <f>+D29*$B$32</f>
        <v>0</v>
      </c>
      <c r="E32" s="54"/>
      <c r="F32" s="59"/>
      <c r="G32" s="59">
        <f>+G29*$B$32</f>
        <v>0</v>
      </c>
      <c r="H32" s="59"/>
      <c r="I32" s="59"/>
      <c r="J32" s="59">
        <f>+J29*$B$32</f>
        <v>0</v>
      </c>
      <c r="K32" s="59"/>
      <c r="L32" s="59"/>
      <c r="M32" s="59">
        <f>+M29*$B$32</f>
        <v>0</v>
      </c>
      <c r="N32" s="59"/>
      <c r="O32" s="59"/>
      <c r="P32" s="59">
        <f>+P29*$B$32</f>
        <v>0</v>
      </c>
      <c r="Q32" s="59"/>
      <c r="R32" s="59"/>
      <c r="S32" s="59">
        <f>+S29*$B$32</f>
        <v>0</v>
      </c>
      <c r="T32" s="59"/>
      <c r="U32" s="59"/>
      <c r="V32" s="59">
        <f>+V29*$B$32</f>
        <v>0</v>
      </c>
      <c r="W32" s="59"/>
      <c r="X32" s="59"/>
      <c r="Y32" s="59">
        <f>+Y29*$B$32</f>
        <v>0</v>
      </c>
      <c r="Z32" s="59"/>
      <c r="AA32" s="59"/>
      <c r="AB32" s="59">
        <f>+AB29*$B$32</f>
        <v>0</v>
      </c>
      <c r="AC32" s="59"/>
      <c r="AD32" s="59"/>
      <c r="AE32" s="59">
        <f>+AE29*$B$32</f>
        <v>0</v>
      </c>
      <c r="AF32" s="59"/>
      <c r="AG32" s="59"/>
      <c r="AH32" s="59">
        <f>+AH29*$B$32</f>
        <v>0</v>
      </c>
      <c r="AI32" s="59"/>
      <c r="AJ32" s="59"/>
      <c r="AK32" s="59">
        <f>+AK29*$B$32</f>
        <v>0</v>
      </c>
      <c r="AL32" s="59"/>
      <c r="AM32" s="59"/>
      <c r="AN32" s="59"/>
      <c r="AO32" s="59">
        <f>+AO29*$B$32</f>
        <v>0</v>
      </c>
      <c r="AP32" s="59"/>
      <c r="AQ32" s="59"/>
      <c r="AR32" s="59">
        <f>+AR29*$B$32</f>
        <v>0</v>
      </c>
      <c r="AS32" s="59"/>
      <c r="AT32" s="59"/>
    </row>
    <row r="33" spans="2:46" ht="18" customHeight="1">
      <c r="B33" s="61" t="s">
        <v>16</v>
      </c>
      <c r="C33" s="58"/>
      <c r="D33" s="59">
        <f>+D32/1000</f>
        <v>0</v>
      </c>
      <c r="E33" s="54"/>
      <c r="F33" s="58"/>
      <c r="G33" s="59">
        <f>+G32/1000</f>
        <v>0</v>
      </c>
      <c r="H33" s="58"/>
      <c r="I33" s="58"/>
      <c r="J33" s="59">
        <f>+J32/1000</f>
        <v>0</v>
      </c>
      <c r="K33" s="58"/>
      <c r="L33" s="58"/>
      <c r="M33" s="59">
        <f>+M32/1000</f>
        <v>0</v>
      </c>
      <c r="N33" s="58"/>
      <c r="O33" s="58"/>
      <c r="P33" s="59">
        <f>+P32/1000</f>
        <v>0</v>
      </c>
      <c r="Q33" s="58"/>
      <c r="R33" s="58"/>
      <c r="S33" s="59">
        <f>+S32/1000</f>
        <v>0</v>
      </c>
      <c r="T33" s="58"/>
      <c r="U33" s="58"/>
      <c r="V33" s="59">
        <f>+V32/1000</f>
        <v>0</v>
      </c>
      <c r="W33" s="58"/>
      <c r="X33" s="58"/>
      <c r="Y33" s="59">
        <f>+Y32/1000</f>
        <v>0</v>
      </c>
      <c r="Z33" s="58"/>
      <c r="AA33" s="58"/>
      <c r="AB33" s="59">
        <f>+AB32/1000</f>
        <v>0</v>
      </c>
      <c r="AC33" s="58"/>
      <c r="AD33" s="58"/>
      <c r="AE33" s="59">
        <f>+AE32/1000</f>
        <v>0</v>
      </c>
      <c r="AF33" s="58"/>
      <c r="AG33" s="58"/>
      <c r="AH33" s="59">
        <f>+AH32/1000</f>
        <v>0</v>
      </c>
      <c r="AI33" s="58"/>
      <c r="AJ33" s="58"/>
      <c r="AK33" s="59">
        <f>+AK32/1000</f>
        <v>0</v>
      </c>
      <c r="AL33" s="58"/>
      <c r="AM33" s="58"/>
      <c r="AN33" s="58"/>
      <c r="AO33" s="59">
        <f>+AO32/1000</f>
        <v>0</v>
      </c>
      <c r="AP33" s="58"/>
      <c r="AQ33" s="58"/>
      <c r="AR33" s="59">
        <f>+AR32/1000</f>
        <v>0</v>
      </c>
      <c r="AS33" s="58"/>
      <c r="AT33" s="58"/>
    </row>
    <row r="34" spans="2:46" ht="12.75">
      <c r="B34" s="58"/>
      <c r="C34" s="58"/>
      <c r="D34" s="58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</row>
    <row r="35" spans="2:46" ht="12.75">
      <c r="B35" s="58"/>
      <c r="C35" s="58"/>
      <c r="D35" s="58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</row>
    <row r="36" spans="2:46" ht="12.75" customHeight="1">
      <c r="B36" s="58"/>
      <c r="C36" s="58"/>
      <c r="D36" s="58"/>
      <c r="E36" s="54"/>
      <c r="F36" s="54" t="b">
        <f>AND(F15="CUMPLE",F17="CUMPLE",F19="CUMPLE",F21="CUMPLE")</f>
        <v>0</v>
      </c>
      <c r="G36" s="54"/>
      <c r="H36" s="54"/>
      <c r="I36" s="54" t="b">
        <f>AND(I15="CUMPLE",I17="CUMPLE",I19="CUMPLE",I21="CUMPLE")</f>
        <v>1</v>
      </c>
      <c r="J36" s="54"/>
      <c r="K36" s="54"/>
      <c r="L36" s="54" t="b">
        <f>AND(L15="CUMPLE",L17="CUMPLE",L19="CUMPLE",L21="CUMPLE")</f>
        <v>1</v>
      </c>
      <c r="M36" s="54"/>
      <c r="N36" s="54"/>
      <c r="O36" s="54" t="b">
        <f>AND(O15="CUMPLE",O17="CUMPLE",O19="CUMPLE",O21="CUMPLE")</f>
        <v>1</v>
      </c>
      <c r="P36" s="54"/>
      <c r="Q36" s="54"/>
      <c r="R36" s="54" t="b">
        <f>AND(R15="CUMPLE",R17="CUMPLE",R19="CUMPLE",R21="CUMPLE")</f>
        <v>1</v>
      </c>
      <c r="S36" s="54"/>
      <c r="T36" s="54"/>
      <c r="U36" s="54" t="b">
        <f>AND(U15="CUMPLE",U17="CUMPLE",U19="CUMPLE",U21="CUMPLE")</f>
        <v>1</v>
      </c>
      <c r="V36" s="54"/>
      <c r="W36" s="54"/>
      <c r="X36" s="54" t="b">
        <f>AND(X15="CUMPLE",X17="CUMPLE",X19="CUMPLE",X21="CUMPLE")</f>
        <v>1</v>
      </c>
      <c r="Y36" s="54"/>
      <c r="Z36" s="54"/>
      <c r="AA36" s="54" t="b">
        <f>AND(AA15="CUMPLE",AA17="CUMPLE",AA19="CUMPLE",AA21="CUMPLE")</f>
        <v>1</v>
      </c>
      <c r="AB36" s="54"/>
      <c r="AC36" s="54"/>
      <c r="AD36" s="54" t="b">
        <f>AND(AD15="CUMPLE",AD17="CUMPLE",AD19="CUMPLE",AD21="CUMPLE")</f>
        <v>1</v>
      </c>
      <c r="AE36" s="54"/>
      <c r="AF36" s="54"/>
      <c r="AG36" s="54" t="b">
        <f>AND(AG15="CUMPLE",AG17="CUMPLE",AG19="CUMPLE",AG21="CUMPLE")</f>
        <v>1</v>
      </c>
      <c r="AH36" s="54"/>
      <c r="AI36" s="54"/>
      <c r="AJ36" s="54" t="b">
        <f>AND(AJ15="CUMPLE",AJ17="CUMPLE",AJ19="CUMPLE",AJ21="CUMPLE")</f>
        <v>1</v>
      </c>
      <c r="AK36" s="54"/>
      <c r="AL36" s="54"/>
      <c r="AM36" s="54" t="b">
        <f>AND(AM15="CUMPLE",AM17="CUMPLE",AM19="CUMPLE",AM21="CUMPLE")</f>
        <v>0</v>
      </c>
      <c r="AN36" s="54"/>
      <c r="AO36" s="54"/>
      <c r="AP36" s="54"/>
      <c r="AQ36" s="54" t="b">
        <f>AND(AQ15="CUMPLE",AQ17="CUMPLE",AQ19="CUMPLE",AQ21="CUMPLE")</f>
        <v>0</v>
      </c>
      <c r="AR36" s="54"/>
      <c r="AS36" s="54"/>
      <c r="AT36" s="54" t="b">
        <f>AND(AT15="CUMPLE",AT17="CUMPLE",AT19="CUMPLE",AT21="CUMPLE")</f>
        <v>1</v>
      </c>
    </row>
    <row r="37" spans="2:46" ht="12.75" customHeight="1">
      <c r="B37" s="58"/>
      <c r="C37" s="58"/>
      <c r="D37" s="58"/>
      <c r="E37" s="54"/>
      <c r="F37" s="54">
        <f>IF(F36=TRUE,1,0)</f>
        <v>0</v>
      </c>
      <c r="G37" s="54"/>
      <c r="H37" s="54"/>
      <c r="I37" s="54">
        <f>IF(I36=TRUE,1,0)</f>
        <v>1</v>
      </c>
      <c r="J37" s="54"/>
      <c r="K37" s="54"/>
      <c r="L37" s="54">
        <f>IF(L36=TRUE,1,0)</f>
        <v>1</v>
      </c>
      <c r="M37" s="54"/>
      <c r="N37" s="54"/>
      <c r="O37" s="54">
        <f>IF(O36=TRUE,1,0)</f>
        <v>1</v>
      </c>
      <c r="P37" s="54"/>
      <c r="Q37" s="54"/>
      <c r="R37" s="54">
        <f>IF(R36=TRUE,1,0)</f>
        <v>1</v>
      </c>
      <c r="S37" s="54"/>
      <c r="T37" s="54"/>
      <c r="U37" s="54">
        <f>IF(U36=TRUE,1,0)</f>
        <v>1</v>
      </c>
      <c r="V37" s="54"/>
      <c r="W37" s="54"/>
      <c r="X37" s="54">
        <f>IF(X36=TRUE,1,0)</f>
        <v>1</v>
      </c>
      <c r="Y37" s="54"/>
      <c r="Z37" s="54"/>
      <c r="AA37" s="54">
        <f>IF(AA36=TRUE,1,0)</f>
        <v>1</v>
      </c>
      <c r="AB37" s="54"/>
      <c r="AC37" s="54"/>
      <c r="AD37" s="54">
        <f>IF(AD36=TRUE,1,0)</f>
        <v>1</v>
      </c>
      <c r="AE37" s="54"/>
      <c r="AF37" s="54"/>
      <c r="AG37" s="54">
        <f>IF(AG36=TRUE,1,0)</f>
        <v>1</v>
      </c>
      <c r="AH37" s="54"/>
      <c r="AI37" s="54"/>
      <c r="AJ37" s="54">
        <f>IF(AJ36=TRUE,1,0)</f>
        <v>1</v>
      </c>
      <c r="AK37" s="54"/>
      <c r="AL37" s="54"/>
      <c r="AM37" s="54">
        <f>IF(AM36=TRUE,1,0)</f>
        <v>0</v>
      </c>
      <c r="AN37" s="54"/>
      <c r="AO37" s="54"/>
      <c r="AP37" s="54"/>
      <c r="AQ37" s="54">
        <f>IF(AQ36=TRUE,1,0)</f>
        <v>0</v>
      </c>
      <c r="AR37" s="54"/>
      <c r="AS37" s="54"/>
      <c r="AT37" s="54">
        <f>IF(AT36=TRUE,1,0)</f>
        <v>1</v>
      </c>
    </row>
    <row r="38" spans="2:46" ht="12.75" customHeight="1">
      <c r="B38" s="58"/>
      <c r="C38" s="58"/>
      <c r="D38" s="58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</row>
    <row r="39" spans="2:46" ht="17.25" thickBot="1">
      <c r="B39" s="62" t="s">
        <v>39</v>
      </c>
      <c r="C39" s="58"/>
      <c r="D39" s="63">
        <f>+D22*1.5*1000</f>
        <v>218468425.49999994</v>
      </c>
      <c r="E39" s="54"/>
      <c r="F39" s="54"/>
      <c r="G39" s="63">
        <f>+G22*1.5*1000</f>
        <v>306565489.5</v>
      </c>
      <c r="H39" s="54"/>
      <c r="I39" s="54"/>
      <c r="J39" s="63">
        <f>+J22*1.5*1000</f>
        <v>967116670.4999999</v>
      </c>
      <c r="K39" s="54"/>
      <c r="L39" s="54"/>
      <c r="M39" s="63">
        <f>+M22*1.5*1000</f>
        <v>379621284</v>
      </c>
      <c r="N39" s="54"/>
      <c r="O39" s="54"/>
      <c r="P39" s="63">
        <f>+P22*1.5*1000</f>
        <v>90012645</v>
      </c>
      <c r="Q39" s="54"/>
      <c r="R39" s="54"/>
      <c r="S39" s="63">
        <f>+S22*1.5*1000</f>
        <v>996903000</v>
      </c>
      <c r="T39" s="54"/>
      <c r="U39" s="54"/>
      <c r="V39" s="63">
        <f>+V22*1.5*1000</f>
        <v>238414665.00000003</v>
      </c>
      <c r="W39" s="54"/>
      <c r="X39" s="54"/>
      <c r="Y39" s="63">
        <f>+Y22*1.5*1000</f>
        <v>2131293000</v>
      </c>
      <c r="Z39" s="54"/>
      <c r="AA39" s="54"/>
      <c r="AB39" s="63">
        <f>+AB22*1.5*1000</f>
        <v>870802431.0000001</v>
      </c>
      <c r="AC39" s="54"/>
      <c r="AD39" s="54"/>
      <c r="AE39" s="63">
        <f>+AE22*1.5*1000</f>
        <v>1687200000</v>
      </c>
      <c r="AF39" s="54"/>
      <c r="AG39" s="54"/>
      <c r="AH39" s="63">
        <f>+AH22*1.5*1000</f>
        <v>742501500</v>
      </c>
      <c r="AI39" s="54"/>
      <c r="AJ39" s="54"/>
      <c r="AK39" s="63">
        <f>+AK22*1.5*1000</f>
        <v>419327481.74999994</v>
      </c>
      <c r="AL39" s="54"/>
      <c r="AM39" s="54"/>
      <c r="AN39" s="54"/>
      <c r="AO39" s="63">
        <f>+AO22*1.5*1000</f>
        <v>356950084.5</v>
      </c>
      <c r="AP39" s="54"/>
      <c r="AQ39" s="54"/>
      <c r="AR39" s="63">
        <f>+AR22*1.5*1000</f>
        <v>244670099.99999997</v>
      </c>
      <c r="AS39" s="54"/>
      <c r="AT39" s="54"/>
    </row>
    <row r="40" spans="2:46" ht="12.75">
      <c r="B40" s="58"/>
      <c r="C40" s="58"/>
      <c r="D40" s="58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</row>
    <row r="44" spans="3:43" ht="15.75">
      <c r="C44" s="64"/>
      <c r="D44" s="14"/>
      <c r="AN44" s="65"/>
      <c r="AO44" s="66"/>
      <c r="AP44" s="65"/>
      <c r="AQ44" s="65"/>
    </row>
  </sheetData>
  <sheetProtection/>
  <mergeCells count="177">
    <mergeCell ref="AC17:AC18"/>
    <mergeCell ref="AD17:AD18"/>
    <mergeCell ref="AF17:AF18"/>
    <mergeCell ref="AG17:AG18"/>
    <mergeCell ref="AK23:AM23"/>
    <mergeCell ref="AL17:AL18"/>
    <mergeCell ref="AH13:AJ13"/>
    <mergeCell ref="AI15:AI16"/>
    <mergeCell ref="AM17:AM18"/>
    <mergeCell ref="AJ15:AJ16"/>
    <mergeCell ref="AL19:AL20"/>
    <mergeCell ref="AM19:AM20"/>
    <mergeCell ref="AL21:AL22"/>
    <mergeCell ref="AM21:AM22"/>
    <mergeCell ref="AK9:AM9"/>
    <mergeCell ref="AK10:AM12"/>
    <mergeCell ref="AK13:AM13"/>
    <mergeCell ref="AL15:AL16"/>
    <mergeCell ref="AM15:AM16"/>
    <mergeCell ref="AF19:AF20"/>
    <mergeCell ref="AE23:AG23"/>
    <mergeCell ref="AI17:AI18"/>
    <mergeCell ref="AJ17:AJ18"/>
    <mergeCell ref="AI19:AI20"/>
    <mergeCell ref="AG19:AG20"/>
    <mergeCell ref="AJ21:AJ22"/>
    <mergeCell ref="AH23:AJ23"/>
    <mergeCell ref="AI21:AI22"/>
    <mergeCell ref="AB10:AD12"/>
    <mergeCell ref="AB13:AD13"/>
    <mergeCell ref="AC15:AC16"/>
    <mergeCell ref="AD15:AD16"/>
    <mergeCell ref="AH10:AJ12"/>
    <mergeCell ref="AE10:AG12"/>
    <mergeCell ref="AE13:AG13"/>
    <mergeCell ref="AF15:AF16"/>
    <mergeCell ref="AG15:AG16"/>
    <mergeCell ref="Z17:Z18"/>
    <mergeCell ref="AA17:AA18"/>
    <mergeCell ref="Z19:Z20"/>
    <mergeCell ref="Y23:AA23"/>
    <mergeCell ref="AA21:AA22"/>
    <mergeCell ref="Y9:AA9"/>
    <mergeCell ref="Y10:AA12"/>
    <mergeCell ref="Y13:AA13"/>
    <mergeCell ref="Z15:Z16"/>
    <mergeCell ref="AA15:AA16"/>
    <mergeCell ref="T17:T18"/>
    <mergeCell ref="AA19:AA20"/>
    <mergeCell ref="S23:U23"/>
    <mergeCell ref="V9:X9"/>
    <mergeCell ref="V10:X12"/>
    <mergeCell ref="V13:X13"/>
    <mergeCell ref="W15:W16"/>
    <mergeCell ref="X15:X16"/>
    <mergeCell ref="W17:W18"/>
    <mergeCell ref="X17:X18"/>
    <mergeCell ref="S10:U12"/>
    <mergeCell ref="S13:U13"/>
    <mergeCell ref="T15:T16"/>
    <mergeCell ref="U15:U16"/>
    <mergeCell ref="U17:U18"/>
    <mergeCell ref="B9:C9"/>
    <mergeCell ref="E19:E20"/>
    <mergeCell ref="E17:E18"/>
    <mergeCell ref="F17:F18"/>
    <mergeCell ref="F19:F20"/>
    <mergeCell ref="Q15:Q16"/>
    <mergeCell ref="R15:R16"/>
    <mergeCell ref="Q17:Q18"/>
    <mergeCell ref="R17:R18"/>
    <mergeCell ref="P10:R12"/>
    <mergeCell ref="H19:H20"/>
    <mergeCell ref="I19:I20"/>
    <mergeCell ref="K19:K20"/>
    <mergeCell ref="L19:L20"/>
    <mergeCell ref="P13:R13"/>
    <mergeCell ref="N17:N18"/>
    <mergeCell ref="O17:O18"/>
    <mergeCell ref="N19:N20"/>
    <mergeCell ref="D23:F23"/>
    <mergeCell ref="B10:C12"/>
    <mergeCell ref="B13:C13"/>
    <mergeCell ref="B15:B16"/>
    <mergeCell ref="B17:B18"/>
    <mergeCell ref="E15:E16"/>
    <mergeCell ref="B19:B20"/>
    <mergeCell ref="B21:B22"/>
    <mergeCell ref="E21:E22"/>
    <mergeCell ref="F21:F22"/>
    <mergeCell ref="B5:C5"/>
    <mergeCell ref="G10:I12"/>
    <mergeCell ref="G13:I13"/>
    <mergeCell ref="H15:H16"/>
    <mergeCell ref="I15:I16"/>
    <mergeCell ref="B6:C6"/>
    <mergeCell ref="F15:F16"/>
    <mergeCell ref="E6:AT6"/>
    <mergeCell ref="D10:F12"/>
    <mergeCell ref="D13:F13"/>
    <mergeCell ref="D9:F9"/>
    <mergeCell ref="G23:I23"/>
    <mergeCell ref="J10:L12"/>
    <mergeCell ref="J13:L13"/>
    <mergeCell ref="K15:K16"/>
    <mergeCell ref="L15:L16"/>
    <mergeCell ref="K17:K18"/>
    <mergeCell ref="L17:L18"/>
    <mergeCell ref="H17:H18"/>
    <mergeCell ref="I17:I18"/>
    <mergeCell ref="M23:O23"/>
    <mergeCell ref="O19:O20"/>
    <mergeCell ref="M10:O12"/>
    <mergeCell ref="M13:O13"/>
    <mergeCell ref="N15:N16"/>
    <mergeCell ref="O15:O16"/>
    <mergeCell ref="J23:L23"/>
    <mergeCell ref="V23:X23"/>
    <mergeCell ref="AC19:AC20"/>
    <mergeCell ref="AJ19:AJ20"/>
    <mergeCell ref="AB23:AD23"/>
    <mergeCell ref="N21:N22"/>
    <mergeCell ref="O21:O22"/>
    <mergeCell ref="Q21:Q22"/>
    <mergeCell ref="R21:R22"/>
    <mergeCell ref="T21:T22"/>
    <mergeCell ref="AE9:AG9"/>
    <mergeCell ref="AN9:AQ9"/>
    <mergeCell ref="P23:R23"/>
    <mergeCell ref="Q19:Q20"/>
    <mergeCell ref="R19:R20"/>
    <mergeCell ref="T19:T20"/>
    <mergeCell ref="U19:U20"/>
    <mergeCell ref="X19:X20"/>
    <mergeCell ref="W19:W20"/>
    <mergeCell ref="AD19:AD20"/>
    <mergeCell ref="AS17:AS18"/>
    <mergeCell ref="AT17:AT18"/>
    <mergeCell ref="AR9:AT9"/>
    <mergeCell ref="G9:I9"/>
    <mergeCell ref="J9:L9"/>
    <mergeCell ref="M9:O9"/>
    <mergeCell ref="P9:R9"/>
    <mergeCell ref="S9:U9"/>
    <mergeCell ref="AB9:AD9"/>
    <mergeCell ref="AH9:AJ9"/>
    <mergeCell ref="AR10:AT12"/>
    <mergeCell ref="AR13:AT13"/>
    <mergeCell ref="AS15:AS16"/>
    <mergeCell ref="AT15:AT16"/>
    <mergeCell ref="AS19:AS20"/>
    <mergeCell ref="AT19:AT20"/>
    <mergeCell ref="AR23:AT23"/>
    <mergeCell ref="AS21:AS22"/>
    <mergeCell ref="AT21:AT22"/>
    <mergeCell ref="AP19:AP20"/>
    <mergeCell ref="AQ19:AQ20"/>
    <mergeCell ref="AN23:AQ23"/>
    <mergeCell ref="AN10:AQ11"/>
    <mergeCell ref="AP15:AP16"/>
    <mergeCell ref="AQ15:AQ16"/>
    <mergeCell ref="AP17:AP18"/>
    <mergeCell ref="AQ17:AQ18"/>
    <mergeCell ref="AP21:AP22"/>
    <mergeCell ref="AQ21:AQ22"/>
    <mergeCell ref="H21:H22"/>
    <mergeCell ref="I21:I22"/>
    <mergeCell ref="K21:K22"/>
    <mergeCell ref="L21:L22"/>
    <mergeCell ref="U21:U22"/>
    <mergeCell ref="W21:W22"/>
    <mergeCell ref="X21:X22"/>
    <mergeCell ref="Z21:Z22"/>
    <mergeCell ref="AC21:AC22"/>
    <mergeCell ref="AD21:AD22"/>
    <mergeCell ref="AF21:AF22"/>
    <mergeCell ref="AG21:AG22"/>
  </mergeCells>
  <conditionalFormatting sqref="AR23 AN23 G23:AK23">
    <cfRule type="expression" priority="1" dxfId="0" stopIfTrue="1">
      <formula>I37=0</formula>
    </cfRule>
  </conditionalFormatting>
  <conditionalFormatting sqref="AL23:AM23">
    <cfRule type="expression" priority="2" dxfId="0" stopIfTrue="1">
      <formula>#REF!=0</formula>
    </cfRule>
  </conditionalFormatting>
  <conditionalFormatting sqref="D23:F23">
    <cfRule type="cellIs" priority="3" dxfId="0" operator="equal" stopIfTrue="1">
      <formula>"NO CUMPLE"</formula>
    </cfRule>
  </conditionalFormatting>
  <hyperlinks>
    <hyperlink ref="A1" location="Hoja1!A1" display="VOLVER AL MENU"/>
  </hyperlinks>
  <printOptions/>
  <pageMargins left="0.1968503937007874" right="0.5" top="1.1023622047244095" bottom="0.984251968503937" header="0" footer="0"/>
  <pageSetup fitToWidth="3" horizontalDpi="600" verticalDpi="600" orientation="landscape" scale="78" r:id="rId1"/>
  <headerFooter alignWithMargins="0">
    <oddFooter>&amp;CEvaluación Convocatoria Pública 017 de 2008 &amp;RHoja &amp;P de &amp;N</oddFooter>
  </headerFooter>
  <colBreaks count="6" manualBreakCount="6">
    <brk id="9" min="9" max="22" man="1"/>
    <brk id="15" min="9" max="22" man="1"/>
    <brk id="21" min="9" max="22" man="1"/>
    <brk id="27" min="9" max="22" man="1"/>
    <brk id="33" min="9" max="22" man="1"/>
    <brk id="39" min="9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P49"/>
  <sheetViews>
    <sheetView zoomScalePageLayoutView="0" workbookViewId="0" topLeftCell="A21">
      <selection activeCell="B41" sqref="B41"/>
    </sheetView>
  </sheetViews>
  <sheetFormatPr defaultColWidth="11.421875" defaultRowHeight="12.75"/>
  <cols>
    <col min="1" max="1" width="22.7109375" style="0" customWidth="1"/>
    <col min="8" max="8" width="12.7109375" style="0" customWidth="1"/>
    <col min="9" max="9" width="12.421875" style="0" customWidth="1"/>
  </cols>
  <sheetData>
    <row r="2" spans="1:3" ht="12.75">
      <c r="A2" s="127" t="s">
        <v>32</v>
      </c>
      <c r="B2" s="128"/>
      <c r="C2" s="128"/>
    </row>
    <row r="3" spans="11:16" ht="12.75" customHeight="1">
      <c r="K3" s="130" t="e">
        <f>+#REF!</f>
        <v>#REF!</v>
      </c>
      <c r="L3" s="131"/>
      <c r="M3" s="131"/>
      <c r="N3" s="131"/>
      <c r="O3" s="131"/>
      <c r="P3" s="131"/>
    </row>
    <row r="4" spans="1:16" s="15" customFormat="1" ht="30" customHeight="1">
      <c r="A4" s="25" t="s">
        <v>28</v>
      </c>
      <c r="B4" s="129" t="e">
        <f>+#REF!</f>
        <v>#REF!</v>
      </c>
      <c r="C4" s="129"/>
      <c r="D4" s="129"/>
      <c r="E4" s="129" t="e">
        <f>+#REF!</f>
        <v>#REF!</v>
      </c>
      <c r="F4" s="129"/>
      <c r="G4" s="129"/>
      <c r="H4" s="129" t="e">
        <f>+#REF!</f>
        <v>#REF!</v>
      </c>
      <c r="I4" s="129"/>
      <c r="J4" s="129"/>
      <c r="K4" s="129"/>
      <c r="L4" s="129"/>
      <c r="M4" s="129"/>
      <c r="N4" s="129" t="e">
        <f>+#REF!</f>
        <v>#REF!</v>
      </c>
      <c r="O4" s="129"/>
      <c r="P4" s="129"/>
    </row>
    <row r="5" spans="2:16" s="1" customFormat="1" ht="12.75">
      <c r="B5" s="16" t="s">
        <v>17</v>
      </c>
      <c r="C5" s="16" t="s">
        <v>18</v>
      </c>
      <c r="D5" s="16" t="s">
        <v>19</v>
      </c>
      <c r="E5" s="16" t="s">
        <v>17</v>
      </c>
      <c r="F5" s="16" t="s">
        <v>18</v>
      </c>
      <c r="G5" s="16" t="s">
        <v>19</v>
      </c>
      <c r="H5" s="16" t="s">
        <v>17</v>
      </c>
      <c r="I5" s="16" t="s">
        <v>18</v>
      </c>
      <c r="J5" s="16" t="s">
        <v>19</v>
      </c>
      <c r="K5" s="16" t="s">
        <v>17</v>
      </c>
      <c r="L5" s="16" t="s">
        <v>18</v>
      </c>
      <c r="M5" s="16" t="s">
        <v>19</v>
      </c>
      <c r="N5" s="16" t="s">
        <v>17</v>
      </c>
      <c r="O5" s="16" t="s">
        <v>18</v>
      </c>
      <c r="P5" s="16" t="s">
        <v>19</v>
      </c>
    </row>
    <row r="6" ht="12.75">
      <c r="B6" s="19"/>
    </row>
    <row r="7" spans="1:16" ht="12.75">
      <c r="A7" s="17" t="s">
        <v>21</v>
      </c>
      <c r="B7" s="21"/>
      <c r="C7" s="21"/>
      <c r="D7" s="21">
        <f>+B7-C7</f>
        <v>0</v>
      </c>
      <c r="E7" s="21"/>
      <c r="F7" s="21"/>
      <c r="G7" s="21">
        <f>+E7-F7</f>
        <v>0</v>
      </c>
      <c r="H7" s="21"/>
      <c r="I7" s="21"/>
      <c r="J7" s="21">
        <f>+H7-I7</f>
        <v>0</v>
      </c>
      <c r="K7" s="21"/>
      <c r="L7" s="21"/>
      <c r="M7" s="21">
        <f>+K7-L7</f>
        <v>0</v>
      </c>
      <c r="N7" s="21"/>
      <c r="O7" s="21"/>
      <c r="P7" s="21">
        <f>+N7-O7</f>
        <v>0</v>
      </c>
    </row>
    <row r="8" spans="2:16" ht="12.75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ht="12.75">
      <c r="A9" s="17" t="s">
        <v>20</v>
      </c>
      <c r="B9" s="21"/>
      <c r="C9" s="21"/>
      <c r="D9" s="21">
        <f>+B9-C9</f>
        <v>0</v>
      </c>
      <c r="E9" s="21"/>
      <c r="F9" s="21"/>
      <c r="G9" s="21">
        <f>+E9-F9</f>
        <v>0</v>
      </c>
      <c r="H9" s="21"/>
      <c r="I9" s="21"/>
      <c r="J9" s="21">
        <f>+H9-I9</f>
        <v>0</v>
      </c>
      <c r="K9" s="21"/>
      <c r="L9" s="21"/>
      <c r="M9" s="21">
        <f>+K9-L9</f>
        <v>0</v>
      </c>
      <c r="N9" s="21"/>
      <c r="O9" s="21"/>
      <c r="P9" s="21">
        <f>+N9-O9</f>
        <v>0</v>
      </c>
    </row>
    <row r="10" spans="2:16" ht="12.75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ht="12.75">
      <c r="A11" s="17" t="s">
        <v>22</v>
      </c>
      <c r="B11" s="22">
        <f aca="true" t="shared" si="0" ref="B11:J11">+B7-B9</f>
        <v>0</v>
      </c>
      <c r="C11" s="22">
        <f t="shared" si="0"/>
        <v>0</v>
      </c>
      <c r="D11" s="22">
        <f t="shared" si="0"/>
        <v>0</v>
      </c>
      <c r="E11" s="22">
        <f t="shared" si="0"/>
        <v>0</v>
      </c>
      <c r="F11" s="22">
        <f t="shared" si="0"/>
        <v>0</v>
      </c>
      <c r="G11" s="22">
        <f t="shared" si="0"/>
        <v>0</v>
      </c>
      <c r="H11" s="22">
        <f t="shared" si="0"/>
        <v>0</v>
      </c>
      <c r="I11" s="22">
        <f t="shared" si="0"/>
        <v>0</v>
      </c>
      <c r="J11" s="22">
        <f t="shared" si="0"/>
        <v>0</v>
      </c>
      <c r="K11" s="22">
        <f aca="true" t="shared" si="1" ref="K11:P11">+K7-K9</f>
        <v>0</v>
      </c>
      <c r="L11" s="22">
        <f t="shared" si="1"/>
        <v>0</v>
      </c>
      <c r="M11" s="22">
        <f t="shared" si="1"/>
        <v>0</v>
      </c>
      <c r="N11" s="22">
        <f t="shared" si="1"/>
        <v>0</v>
      </c>
      <c r="O11" s="22">
        <f t="shared" si="1"/>
        <v>0</v>
      </c>
      <c r="P11" s="22">
        <f t="shared" si="1"/>
        <v>0</v>
      </c>
    </row>
    <row r="12" spans="2:16" ht="12.75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2.75">
      <c r="A13" s="17" t="s">
        <v>23</v>
      </c>
      <c r="B13" s="21"/>
      <c r="C13" s="21"/>
      <c r="D13" s="21">
        <f>+B13-C13</f>
        <v>0</v>
      </c>
      <c r="E13" s="21"/>
      <c r="F13" s="21"/>
      <c r="G13" s="21">
        <f>+E13-F13</f>
        <v>0</v>
      </c>
      <c r="H13" s="21"/>
      <c r="I13" s="21"/>
      <c r="J13" s="21">
        <f>+H13-I13</f>
        <v>0</v>
      </c>
      <c r="K13" s="21"/>
      <c r="L13" s="21"/>
      <c r="M13" s="21">
        <f>+K13-L13</f>
        <v>0</v>
      </c>
      <c r="N13" s="21"/>
      <c r="O13" s="21"/>
      <c r="P13" s="21">
        <f>+N13-O13</f>
        <v>0</v>
      </c>
    </row>
    <row r="14" spans="2:16" ht="12.75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12.75">
      <c r="A15" s="17" t="s">
        <v>24</v>
      </c>
      <c r="B15" s="21"/>
      <c r="C15" s="21"/>
      <c r="D15" s="21">
        <f>+B15-C15</f>
        <v>0</v>
      </c>
      <c r="E15" s="21"/>
      <c r="F15" s="21"/>
      <c r="G15" s="21">
        <f>+E15-F15</f>
        <v>0</v>
      </c>
      <c r="H15" s="21"/>
      <c r="I15" s="21"/>
      <c r="J15" s="21">
        <f>+H15-I15</f>
        <v>0</v>
      </c>
      <c r="K15" s="21"/>
      <c r="L15" s="21"/>
      <c r="M15" s="21">
        <f>+K15-L15</f>
        <v>0</v>
      </c>
      <c r="N15" s="21"/>
      <c r="O15" s="21"/>
      <c r="P15" s="21">
        <f>+N15-O15</f>
        <v>0</v>
      </c>
    </row>
    <row r="16" spans="2:16" ht="12.75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6" ht="12.75">
      <c r="A17" s="17" t="s">
        <v>25</v>
      </c>
      <c r="B17" s="21"/>
      <c r="C17" s="21"/>
      <c r="D17" s="21">
        <f>+B17-C17</f>
        <v>0</v>
      </c>
      <c r="E17" s="21"/>
      <c r="F17" s="21"/>
      <c r="G17" s="21">
        <f>+E17-F17</f>
        <v>0</v>
      </c>
      <c r="H17" s="21"/>
      <c r="I17" s="21"/>
      <c r="J17" s="21">
        <f>+H17-I17</f>
        <v>0</v>
      </c>
      <c r="K17" s="21"/>
      <c r="L17" s="21"/>
      <c r="M17" s="21">
        <f>+K17-L17</f>
        <v>0</v>
      </c>
      <c r="N17" s="21"/>
      <c r="O17" s="21"/>
      <c r="P17" s="21">
        <f>+N17-O17</f>
        <v>0</v>
      </c>
    </row>
    <row r="18" spans="2:16" ht="12.75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16" ht="12.75">
      <c r="A19" s="17" t="s">
        <v>30</v>
      </c>
      <c r="B19" s="21"/>
      <c r="C19" s="21"/>
      <c r="D19" s="21">
        <f>+B19-C19</f>
        <v>0</v>
      </c>
      <c r="E19" s="21"/>
      <c r="F19" s="21"/>
      <c r="G19" s="21">
        <f>+E19-F19</f>
        <v>0</v>
      </c>
      <c r="H19" s="21"/>
      <c r="I19" s="21"/>
      <c r="J19" s="21">
        <f>+H19-I19</f>
        <v>0</v>
      </c>
      <c r="K19" s="21"/>
      <c r="L19" s="21"/>
      <c r="M19" s="21">
        <f>+K19-L19</f>
        <v>0</v>
      </c>
      <c r="N19" s="21"/>
      <c r="O19" s="21"/>
      <c r="P19" s="21">
        <f>+N19-O19</f>
        <v>0</v>
      </c>
    </row>
    <row r="20" spans="2:16" ht="12.75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16" ht="12.75">
      <c r="A21" s="17" t="s">
        <v>26</v>
      </c>
      <c r="B21" s="21"/>
      <c r="C21" s="21"/>
      <c r="D21" s="21">
        <f>+B21-C21</f>
        <v>0</v>
      </c>
      <c r="E21" s="21"/>
      <c r="F21" s="21"/>
      <c r="G21" s="21">
        <f>+E21-F21</f>
        <v>0</v>
      </c>
      <c r="H21" s="21"/>
      <c r="I21" s="21"/>
      <c r="J21" s="21">
        <f>+H21-I21</f>
        <v>0</v>
      </c>
      <c r="K21" s="21"/>
      <c r="L21" s="21"/>
      <c r="M21" s="21">
        <f>+K21-L21</f>
        <v>0</v>
      </c>
      <c r="N21" s="21"/>
      <c r="O21" s="21"/>
      <c r="P21" s="21">
        <f>+N21-O21</f>
        <v>0</v>
      </c>
    </row>
    <row r="22" spans="2:16" ht="12.75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6" ht="12.75">
      <c r="A23" s="17" t="s">
        <v>27</v>
      </c>
      <c r="B23" s="22">
        <f aca="true" t="shared" si="2" ref="B23:J23">+B13-B15-B17-B19-B21</f>
        <v>0</v>
      </c>
      <c r="C23" s="22">
        <f t="shared" si="2"/>
        <v>0</v>
      </c>
      <c r="D23" s="23">
        <f t="shared" si="2"/>
        <v>0</v>
      </c>
      <c r="E23" s="22">
        <f t="shared" si="2"/>
        <v>0</v>
      </c>
      <c r="F23" s="22">
        <f t="shared" si="2"/>
        <v>0</v>
      </c>
      <c r="G23" s="23">
        <f t="shared" si="2"/>
        <v>0</v>
      </c>
      <c r="H23" s="22">
        <f t="shared" si="2"/>
        <v>0</v>
      </c>
      <c r="I23" s="22">
        <f t="shared" si="2"/>
        <v>0</v>
      </c>
      <c r="J23" s="22">
        <f t="shared" si="2"/>
        <v>0</v>
      </c>
      <c r="K23" s="22">
        <f aca="true" t="shared" si="3" ref="K23:P23">+K13-K15-K17-K19-K21</f>
        <v>0</v>
      </c>
      <c r="L23" s="22">
        <f t="shared" si="3"/>
        <v>0</v>
      </c>
      <c r="M23" s="22">
        <f t="shared" si="3"/>
        <v>0</v>
      </c>
      <c r="N23" s="22">
        <f t="shared" si="3"/>
        <v>0</v>
      </c>
      <c r="O23" s="22">
        <f t="shared" si="3"/>
        <v>0</v>
      </c>
      <c r="P23" s="22">
        <f t="shared" si="3"/>
        <v>0</v>
      </c>
    </row>
    <row r="27" spans="1:3" ht="12.75">
      <c r="A27" s="127" t="s">
        <v>32</v>
      </c>
      <c r="B27" s="128"/>
      <c r="C27" s="128"/>
    </row>
    <row r="29" spans="1:13" ht="12.75">
      <c r="A29" s="25" t="s">
        <v>29</v>
      </c>
      <c r="B29" s="129" t="e">
        <f>+B4</f>
        <v>#REF!</v>
      </c>
      <c r="C29" s="129"/>
      <c r="D29" s="129"/>
      <c r="E29" s="129" t="e">
        <f>+E4</f>
        <v>#REF!</v>
      </c>
      <c r="F29" s="129"/>
      <c r="G29" s="129"/>
      <c r="H29" s="129" t="e">
        <f>+H4</f>
        <v>#REF!</v>
      </c>
      <c r="I29" s="129"/>
      <c r="J29" s="129"/>
      <c r="K29" s="129">
        <f>+K4</f>
        <v>0</v>
      </c>
      <c r="L29" s="129"/>
      <c r="M29" s="129"/>
    </row>
    <row r="30" spans="1:13" ht="12.75">
      <c r="A30" s="1"/>
      <c r="B30" s="16" t="s">
        <v>17</v>
      </c>
      <c r="C30" s="16" t="s">
        <v>18</v>
      </c>
      <c r="D30" s="16" t="s">
        <v>19</v>
      </c>
      <c r="E30" s="16" t="s">
        <v>17</v>
      </c>
      <c r="F30" s="16" t="s">
        <v>18</v>
      </c>
      <c r="G30" s="16" t="s">
        <v>19</v>
      </c>
      <c r="H30" s="16" t="s">
        <v>17</v>
      </c>
      <c r="I30" s="16" t="s">
        <v>18</v>
      </c>
      <c r="J30" s="16" t="s">
        <v>19</v>
      </c>
      <c r="K30" s="16" t="s">
        <v>17</v>
      </c>
      <c r="L30" s="16" t="s">
        <v>18</v>
      </c>
      <c r="M30" s="16" t="s">
        <v>19</v>
      </c>
    </row>
    <row r="32" spans="1:13" ht="12.75">
      <c r="A32" s="17" t="s">
        <v>21</v>
      </c>
      <c r="B32" s="21">
        <v>338540</v>
      </c>
      <c r="C32" s="21">
        <v>338540</v>
      </c>
      <c r="D32" s="21">
        <f>+B32-C32</f>
        <v>0</v>
      </c>
      <c r="E32" s="21"/>
      <c r="F32" s="21">
        <v>2236097</v>
      </c>
      <c r="G32" s="21">
        <f>+E32-F32</f>
        <v>-2236097</v>
      </c>
      <c r="H32" s="21">
        <v>3913626</v>
      </c>
      <c r="I32" s="21">
        <v>3439435</v>
      </c>
      <c r="J32" s="21">
        <f>+H32-I32</f>
        <v>474191</v>
      </c>
      <c r="K32" s="21">
        <v>3913626</v>
      </c>
      <c r="L32" s="21">
        <v>3439435</v>
      </c>
      <c r="M32" s="21">
        <f>+K32-L32</f>
        <v>474191</v>
      </c>
    </row>
    <row r="33" spans="2:13" ht="12.75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13" ht="12.75">
      <c r="A34" s="17" t="s">
        <v>20</v>
      </c>
      <c r="B34" s="21">
        <v>177384</v>
      </c>
      <c r="C34" s="21">
        <v>177384</v>
      </c>
      <c r="D34" s="21">
        <f>+B34-C34</f>
        <v>0</v>
      </c>
      <c r="E34" s="21"/>
      <c r="F34" s="21">
        <v>1443897</v>
      </c>
      <c r="G34" s="21">
        <f>+E34-F34</f>
        <v>-1443897</v>
      </c>
      <c r="H34" s="21">
        <v>1966502</v>
      </c>
      <c r="I34" s="21">
        <v>1966503</v>
      </c>
      <c r="J34" s="21">
        <f>+H34-I34</f>
        <v>-1</v>
      </c>
      <c r="K34" s="21">
        <v>1966502</v>
      </c>
      <c r="L34" s="21">
        <v>1966503</v>
      </c>
      <c r="M34" s="21">
        <f>+K34-L34</f>
        <v>-1</v>
      </c>
    </row>
    <row r="35" spans="2:13" ht="12.75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1:13" ht="12.75">
      <c r="A36" s="17" t="s">
        <v>22</v>
      </c>
      <c r="B36" s="22">
        <f aca="true" t="shared" si="4" ref="B36:J36">+B32-B34</f>
        <v>161156</v>
      </c>
      <c r="C36" s="22">
        <f t="shared" si="4"/>
        <v>161156</v>
      </c>
      <c r="D36" s="22">
        <f t="shared" si="4"/>
        <v>0</v>
      </c>
      <c r="E36" s="22">
        <f t="shared" si="4"/>
        <v>0</v>
      </c>
      <c r="F36" s="22">
        <f t="shared" si="4"/>
        <v>792200</v>
      </c>
      <c r="G36" s="22">
        <f t="shared" si="4"/>
        <v>-792200</v>
      </c>
      <c r="H36" s="24">
        <f t="shared" si="4"/>
        <v>1947124</v>
      </c>
      <c r="I36" s="24">
        <f t="shared" si="4"/>
        <v>1472932</v>
      </c>
      <c r="J36" s="24">
        <f t="shared" si="4"/>
        <v>474192</v>
      </c>
      <c r="K36" s="24">
        <f>+K32-K34</f>
        <v>1947124</v>
      </c>
      <c r="L36" s="24">
        <f>+L32-L34</f>
        <v>1472932</v>
      </c>
      <c r="M36" s="24">
        <f>+M32-M34</f>
        <v>474192</v>
      </c>
    </row>
    <row r="37" spans="2:13" ht="12.7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13" ht="12.75">
      <c r="A38" s="17" t="s">
        <v>23</v>
      </c>
      <c r="B38" s="21">
        <f>3497+174390</f>
        <v>177887</v>
      </c>
      <c r="C38" s="21">
        <v>177887</v>
      </c>
      <c r="D38" s="21">
        <f>+B38-C38</f>
        <v>0</v>
      </c>
      <c r="E38" s="21">
        <v>5286525</v>
      </c>
      <c r="F38" s="21">
        <v>5295374</v>
      </c>
      <c r="G38" s="21">
        <f>+E38-F38</f>
        <v>-8849</v>
      </c>
      <c r="H38" s="21">
        <f>2270798+344789</f>
        <v>2615587</v>
      </c>
      <c r="I38" s="21">
        <f>2270798+344789</f>
        <v>2615587</v>
      </c>
      <c r="J38" s="21">
        <f>+H38-I38</f>
        <v>0</v>
      </c>
      <c r="K38" s="21">
        <f>2270798+344789</f>
        <v>2615587</v>
      </c>
      <c r="L38" s="21">
        <f>2270798+344789</f>
        <v>2615587</v>
      </c>
      <c r="M38" s="21">
        <f>+K38-L38</f>
        <v>0</v>
      </c>
    </row>
    <row r="39" spans="2:13" ht="12.75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3" ht="12.75">
      <c r="A40" s="17" t="s">
        <v>24</v>
      </c>
      <c r="B40" s="21"/>
      <c r="C40" s="21">
        <v>0</v>
      </c>
      <c r="D40" s="21">
        <f>+B40-C40</f>
        <v>0</v>
      </c>
      <c r="E40" s="21">
        <v>3389864</v>
      </c>
      <c r="F40" s="21">
        <v>3389864</v>
      </c>
      <c r="G40" s="21">
        <f>+E40-F40</f>
        <v>0</v>
      </c>
      <c r="H40" s="21"/>
      <c r="I40" s="21">
        <v>0</v>
      </c>
      <c r="J40" s="21">
        <f>+H40-I40</f>
        <v>0</v>
      </c>
      <c r="K40" s="21"/>
      <c r="L40" s="21">
        <v>0</v>
      </c>
      <c r="M40" s="21">
        <f>+K40-L40</f>
        <v>0</v>
      </c>
    </row>
    <row r="41" spans="2:13" ht="12.7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2" spans="1:13" ht="12.75">
      <c r="A42" s="17" t="s">
        <v>25</v>
      </c>
      <c r="B42" s="21">
        <f>158173+3499</f>
        <v>161672</v>
      </c>
      <c r="C42" s="21">
        <f>152061+3494</f>
        <v>155555</v>
      </c>
      <c r="D42" s="21">
        <f>+B42-C42</f>
        <v>6117</v>
      </c>
      <c r="E42" s="21">
        <v>1818615</v>
      </c>
      <c r="F42" s="21">
        <f>1150575+146851</f>
        <v>1297426</v>
      </c>
      <c r="G42" s="21">
        <f>+E42-F42</f>
        <v>521189</v>
      </c>
      <c r="H42" s="21">
        <f>1533588+58314+282281</f>
        <v>1874183</v>
      </c>
      <c r="I42" s="21">
        <f>1533588+58314+282281</f>
        <v>1874183</v>
      </c>
      <c r="J42" s="21">
        <f>+H42-I42</f>
        <v>0</v>
      </c>
      <c r="K42" s="21">
        <f>1533588+58314+282281</f>
        <v>1874183</v>
      </c>
      <c r="L42" s="21">
        <f>1533588+58314+282281</f>
        <v>1874183</v>
      </c>
      <c r="M42" s="21">
        <f>+K42-L42</f>
        <v>0</v>
      </c>
    </row>
    <row r="43" spans="2:13" ht="12.7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</row>
    <row r="44" spans="1:13" ht="12.75">
      <c r="A44" s="17" t="s">
        <v>30</v>
      </c>
      <c r="B44" s="21"/>
      <c r="C44" s="21"/>
      <c r="D44" s="21">
        <f>+B44-C44</f>
        <v>0</v>
      </c>
      <c r="E44" s="21"/>
      <c r="F44" s="21">
        <f>5943+8849</f>
        <v>14792</v>
      </c>
      <c r="G44" s="21">
        <f>+E44-F44</f>
        <v>-14792</v>
      </c>
      <c r="H44" s="21"/>
      <c r="I44" s="21"/>
      <c r="J44" s="21">
        <f>+H44-I44</f>
        <v>0</v>
      </c>
      <c r="K44" s="21"/>
      <c r="L44" s="21"/>
      <c r="M44" s="21">
        <f>+K44-L44</f>
        <v>0</v>
      </c>
    </row>
    <row r="45" spans="2:13" ht="12.75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1:13" ht="12.75">
      <c r="A46" s="17" t="s">
        <v>26</v>
      </c>
      <c r="B46" s="21">
        <v>15086</v>
      </c>
      <c r="C46" s="21">
        <f>1951+5619</f>
        <v>7570</v>
      </c>
      <c r="D46" s="21">
        <f>+B46-C46</f>
        <v>7516</v>
      </c>
      <c r="E46" s="21"/>
      <c r="F46" s="21">
        <v>202738</v>
      </c>
      <c r="G46" s="21">
        <f>+E46-F46</f>
        <v>-202738</v>
      </c>
      <c r="H46" s="21">
        <f>136270+132488+4747</f>
        <v>273505</v>
      </c>
      <c r="I46" s="21">
        <f>136270+132488+4747</f>
        <v>273505</v>
      </c>
      <c r="J46" s="21">
        <f>+H46-I46</f>
        <v>0</v>
      </c>
      <c r="K46" s="21">
        <f>136270+132488+4747</f>
        <v>273505</v>
      </c>
      <c r="L46" s="21">
        <f>136270+132488+4747</f>
        <v>273505</v>
      </c>
      <c r="M46" s="21">
        <f>+K46-L46</f>
        <v>0</v>
      </c>
    </row>
    <row r="47" spans="2:13" ht="12.7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1:13" ht="12.75">
      <c r="A48" s="17" t="s">
        <v>27</v>
      </c>
      <c r="B48" s="22">
        <f aca="true" t="shared" si="5" ref="B48:J48">+B38-B40-B42-B44-B46</f>
        <v>1129</v>
      </c>
      <c r="C48" s="22">
        <f t="shared" si="5"/>
        <v>14762</v>
      </c>
      <c r="D48" s="23">
        <f t="shared" si="5"/>
        <v>-13633</v>
      </c>
      <c r="E48" s="22">
        <f t="shared" si="5"/>
        <v>78046</v>
      </c>
      <c r="F48" s="22">
        <f t="shared" si="5"/>
        <v>390554</v>
      </c>
      <c r="G48" s="22">
        <f t="shared" si="5"/>
        <v>-312508</v>
      </c>
      <c r="H48" s="22">
        <f t="shared" si="5"/>
        <v>467899</v>
      </c>
      <c r="I48" s="22">
        <f t="shared" si="5"/>
        <v>467899</v>
      </c>
      <c r="J48" s="23">
        <f t="shared" si="5"/>
        <v>0</v>
      </c>
      <c r="K48" s="22">
        <f>+K38-K40-K42-K44-K46</f>
        <v>467899</v>
      </c>
      <c r="L48" s="22">
        <f>+L38-L40-L42-L44-L46</f>
        <v>467899</v>
      </c>
      <c r="M48" s="23">
        <f>+M38-M40-M42-M44-M46</f>
        <v>0</v>
      </c>
    </row>
    <row r="49" ht="12.75">
      <c r="D49" s="20" t="s">
        <v>31</v>
      </c>
    </row>
  </sheetData>
  <sheetProtection/>
  <mergeCells count="12">
    <mergeCell ref="H29:J29"/>
    <mergeCell ref="B4:D4"/>
    <mergeCell ref="N4:P4"/>
    <mergeCell ref="K3:P3"/>
    <mergeCell ref="E4:G4"/>
    <mergeCell ref="H4:J4"/>
    <mergeCell ref="K4:M4"/>
    <mergeCell ref="K29:M29"/>
    <mergeCell ref="A2:C2"/>
    <mergeCell ref="A27:C27"/>
    <mergeCell ref="B29:D29"/>
    <mergeCell ref="E29:G29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rafajardom</dc:creator>
  <cp:keywords/>
  <dc:description/>
  <cp:lastModifiedBy>ipalominoc</cp:lastModifiedBy>
  <cp:lastPrinted>2008-09-29T19:13:47Z</cp:lastPrinted>
  <dcterms:created xsi:type="dcterms:W3CDTF">2008-02-21T13:10:19Z</dcterms:created>
  <dcterms:modified xsi:type="dcterms:W3CDTF">2008-11-25T22:16:55Z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