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1"/>
  </bookViews>
  <sheets>
    <sheet name="VERIFICACION DE LOS D. FINANCIE" sheetId="1" r:id="rId1"/>
    <sheet name="EVALUACIÓN FINANCIERA" sheetId="2" r:id="rId2"/>
    <sheet name="CONCILIACIONES" sheetId="3" state="hidden" r:id="rId3"/>
  </sheets>
  <definedNames>
    <definedName name="_xlnm.Print_Area" localSheetId="1">'EVALUACIÓN FINANCIERA'!$D$10:$AG$23</definedName>
    <definedName name="_xlnm.Print_Area" localSheetId="0">'VERIFICACION DE LOS D. FINANCIE'!$C$9:$Z$18</definedName>
    <definedName name="_xlnm.Print_Titles" localSheetId="1">'EVALUACIÓN FINANCIERA'!$B:$C,'EVALUACIÓN FINANCIERA'!$5:$14</definedName>
    <definedName name="_xlnm.Print_Titles" localSheetId="0">'VERIFICACION DE LOS D. FINANCIE'!$B:$B,'VERIFICACION DE LOS D. FINANCIE'!$5:$8</definedName>
  </definedNames>
  <calcPr fullCalcOnLoad="1"/>
</workbook>
</file>

<file path=xl/sharedStrings.xml><?xml version="1.0" encoding="utf-8"?>
<sst xmlns="http://schemas.openxmlformats.org/spreadsheetml/2006/main" count="215" uniqueCount="104">
  <si>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</si>
  <si>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</si>
  <si>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</si>
  <si>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</si>
  <si>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</si>
  <si>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</si>
  <si>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</si>
  <si>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CERTIFICADO ANTECEDENTES DISCIPLINARIOS DEL CONTADOR Y DEL REVISOR FISCAL (ó CONTADOR INDEPENDIENTE QUE DICTAMINA O AUDITA LOS ESTADOS FINANCIEROS) (documento subsanable)</t>
  </si>
  <si>
    <t>RESULTADO</t>
  </si>
  <si>
    <t>FACTORES</t>
  </si>
  <si>
    <t>CALIFICACIÓN</t>
  </si>
  <si>
    <t>% DE PARTICIPACION</t>
  </si>
  <si>
    <t>NO APLICA</t>
  </si>
  <si>
    <t>item</t>
  </si>
  <si>
    <t>RELACIÓN PATRIMONIAL &lt;=1.5 (PO/ PT)</t>
  </si>
  <si>
    <t>PASIVO TOTAL</t>
  </si>
  <si>
    <t>ACTIVO TOTAL</t>
  </si>
  <si>
    <t>ACTIVO CORRIENTE</t>
  </si>
  <si>
    <t>PASIVO CORRIENTE</t>
  </si>
  <si>
    <t>PRESUPUESTO OFICIAL</t>
  </si>
  <si>
    <t>PATRIMONIO TOTAL</t>
  </si>
  <si>
    <t>VALOR PRESUPUESTO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</si>
  <si>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</si>
  <si>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</si>
  <si>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</si>
  <si>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</si>
  <si>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</si>
  <si>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</si>
  <si>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</si>
  <si>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</si>
  <si>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</si>
  <si>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</si>
  <si>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</si>
  <si>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</si>
  <si>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</si>
  <si>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</si>
  <si>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</si>
  <si>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</si>
  <si>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</si>
  <si>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</si>
  <si>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t xml:space="preserve">Balance General y Estado de Resultados con  corte a 31 de diciembre de 2007 (documento subsanable) </t>
  </si>
  <si>
    <r>
      <t>DECLARACIÓN DE RENTA</t>
    </r>
    <r>
      <rPr>
        <sz val="10"/>
        <rFont val="Arial Narrow"/>
        <family val="2"/>
      </rPr>
      <t xml:space="preserve"> (documento subsanable)</t>
    </r>
  </si>
  <si>
    <t>ENDEUDAMIENTO &lt;=70 % (PASIVO TOTAL / ACTIVO TOTAL )*100</t>
  </si>
  <si>
    <t>FOLIO 44 Y FOLIO 45</t>
  </si>
  <si>
    <t>FOLIO 48 Y FOLIO 49</t>
  </si>
  <si>
    <t>EVALUACIÓN FINANCIERA: CONVOCATORIA PUBLICA Nº 012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</si>
  <si>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ADECUACION DE LA SEDE DE LA ACADEMIA LUIS A. CALVO ADSCRITA A LA FACULTAD DE ARTES DE LA UNIVERSIDAD DISTRITAL FRANCISCO JOSE DE CALDAS, UBICADA EN LA CARRERA 9 Nº 52-52, CONSISTENTE EN EL CAMBIO DE LA CUBIERTA Y EL SUMINISTRO E INSTALACION DEL SISTEMA DE AIRE ACONDICIONADO. </t>
    </r>
  </si>
  <si>
    <t>CONSORCIO INGENIEROS ASOCIADOS 2008</t>
  </si>
  <si>
    <t>CONSORCIO VALSAN</t>
  </si>
  <si>
    <t>PROYECTAR INGENIERIA LTDA.</t>
  </si>
  <si>
    <t>CONTRUCCIONES MASTER Y CIA LTDA.</t>
  </si>
  <si>
    <t>CONSORCIO CONSORCIO C&amp;A 2008</t>
  </si>
  <si>
    <t>HECTOR VICENTE RODRIGUEZ ROMERO</t>
  </si>
  <si>
    <t>GRUPO AZER S.A.</t>
  </si>
  <si>
    <t>INGEPLAQ LTDA.</t>
  </si>
  <si>
    <t>IDACO LTDA.</t>
  </si>
  <si>
    <t>CAPITAL DE TRABAJO &gt;=30% del PO. ((AC-PC)</t>
  </si>
  <si>
    <t>RAZON CORRIENTE &gt;= 1.3 (AC/PC)</t>
  </si>
  <si>
    <t>LINA VIVIANA GOMEZ CASANOVA</t>
  </si>
  <si>
    <t>JOSE AGUSTIN CORTES HERRERA</t>
  </si>
  <si>
    <t>JUAN CARLOS SANABRIA RODRIGUEZ</t>
  </si>
  <si>
    <t>CIMAQ PROYECTOS LTDA</t>
  </si>
  <si>
    <t>INBACON LTDA.</t>
  </si>
  <si>
    <t>FOLIO 32 A FOLIO 47</t>
  </si>
  <si>
    <t>FOLIO 44</t>
  </si>
  <si>
    <t>FOLIO 46 Y FLOIO 47</t>
  </si>
  <si>
    <t>FOLIO 40</t>
  </si>
  <si>
    <t>N / A</t>
  </si>
  <si>
    <t>FOLIO 41 Y FOLIO 42</t>
  </si>
  <si>
    <t>FOLIO 46</t>
  </si>
  <si>
    <t>FOLIO 47 A FOLIO 49</t>
  </si>
  <si>
    <t>FOLIO 51</t>
  </si>
  <si>
    <t>FOLIO 43 A FOLIO 48</t>
  </si>
  <si>
    <t>FOLIO 49</t>
  </si>
  <si>
    <t>GUILLERMO FERNANDO VALDES BELTRAN</t>
  </si>
  <si>
    <t>FOLIO 58</t>
  </si>
  <si>
    <t>FOLIO 61</t>
  </si>
  <si>
    <t>FOLIO 50 FOLIO 56</t>
  </si>
  <si>
    <t>FOLIO 57</t>
  </si>
  <si>
    <t>FOLIO 45 A FOLIO 50</t>
  </si>
  <si>
    <t>FOLIO 51 A FOLIO 56</t>
  </si>
  <si>
    <t>FOLIO 59</t>
  </si>
  <si>
    <t>FOLIO 40 A FOLIO 44</t>
  </si>
  <si>
    <t>FOLIO 39</t>
  </si>
  <si>
    <t>FOLIO 29 A FOLIO 38</t>
  </si>
  <si>
    <t>EL BALANCE NO ES COMPARATIVO CON 2006</t>
  </si>
  <si>
    <t>FOLIO 25 A FOLIO 32</t>
  </si>
  <si>
    <t>FOLIO 33</t>
  </si>
  <si>
    <t>FOLIO 35</t>
  </si>
  <si>
    <t>FOLIO 40 Y FOLIO 41</t>
  </si>
  <si>
    <t xml:space="preserve">VENCIDAS </t>
  </si>
  <si>
    <t>FOLIO 30 A FOLIO 29</t>
  </si>
  <si>
    <t>FOLIO 41</t>
  </si>
  <si>
    <t>FOLIO 32 Y FOLIO 34</t>
  </si>
  <si>
    <t>FOLIO 23 A FOLIO 29 Y FOLIO 33</t>
  </si>
  <si>
    <t>FOLIO 36</t>
  </si>
  <si>
    <t>HOJA 38 A HOJA 44 Y HOJA 47 TODAS SIN FOLIAR</t>
  </si>
  <si>
    <t>HOJA 48 Y HOJA 49</t>
  </si>
  <si>
    <t>HOJA 53</t>
  </si>
  <si>
    <t>PENDIENTE CERTIFICADO CONTADOR ( Sra. MYRIAM SAMPER VILLALOBOS)  QUE FIRMA CONJUNTAMENTE  EL BALANCE</t>
  </si>
  <si>
    <t>SALDOS DIFERENTES,DEBE ENVIAR LA CONCILIACION.</t>
  </si>
  <si>
    <t>SALDOS DIFERENTES, DEBE ENVIAR LA CONCILIACION.</t>
  </si>
  <si>
    <t>LAS NOTAS A LOS  EE.FF Y CERTIFICACION DE EE.FF NO FUERON ENVIADOS</t>
  </si>
  <si>
    <r>
      <t>NOTA ESPECIAL</t>
    </r>
    <r>
      <rPr>
        <sz val="8"/>
        <rFont val="Arial"/>
        <family val="0"/>
      </rPr>
      <t xml:space="preserve">: LAS EMPRESAS QUE DEBAN SUBSANAR ALGUN TIPO DE DOCUMENTO, DEBERÁN HACERLO ANTES DE LAS CINCO (5:00 PM.) DEL DÍA:MIERCOLES 8 DE OCTUBRE DE 2008. </t>
    </r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</si>
</sst>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.##0"/>
    <numFmt numFmtId="193" formatCode="#.##0.00"/>
    <numFmt numFmtId="194" formatCode="0.000"/>
    <numFmt numFmtId="195" formatCode="0.0"/>
    <numFmt numFmtId="196" formatCode="_ * #,##0.0_ ;_ * \-#,##0.0_ ;_ * &quot;-&quot;??_ ;_ @_ "/>
    <numFmt numFmtId="197" formatCode="_ * #,##0_ ;_ * \-#,##0_ ;_ * &quot;-&quot;??_ ;_ @_ "/>
  </numFmts>
  <fonts count="3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0" xfId="45" applyAlignment="1" applyProtection="1">
      <alignment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justify" wrapText="1"/>
    </xf>
    <xf numFmtId="0" fontId="7" fillId="0" borderId="17" xfId="0" applyFont="1" applyBorder="1" applyAlignment="1">
      <alignment horizontal="justify" wrapText="1"/>
    </xf>
    <xf numFmtId="0" fontId="7" fillId="0" borderId="16" xfId="0" applyFont="1" applyBorder="1" applyAlignment="1">
      <alignment horizontal="justify" wrapText="1"/>
    </xf>
    <xf numFmtId="0" fontId="6" fillId="0" borderId="17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23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vertical="center"/>
    </xf>
    <xf numFmtId="0" fontId="11" fillId="0" borderId="31" xfId="0" applyFont="1" applyBorder="1" applyAlignment="1">
      <alignment horizontal="justify" vertical="top" wrapText="1"/>
    </xf>
    <xf numFmtId="0" fontId="11" fillId="0" borderId="32" xfId="0" applyFont="1" applyBorder="1" applyAlignment="1">
      <alignment horizontal="justify" vertical="center"/>
    </xf>
    <xf numFmtId="0" fontId="12" fillId="0" borderId="33" xfId="0" applyFont="1" applyBorder="1" applyAlignment="1">
      <alignment horizontal="justify" vertical="center"/>
    </xf>
    <xf numFmtId="3" fontId="1" fillId="0" borderId="0" xfId="0" applyNumberFormat="1" applyFont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0" fontId="1" fillId="0" borderId="39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197" fontId="1" fillId="0" borderId="0" xfId="48" applyNumberFormat="1" applyFont="1" applyAlignment="1">
      <alignment wrapText="1"/>
    </xf>
    <xf numFmtId="0" fontId="3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16" borderId="15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8" fillId="16" borderId="49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8" fillId="16" borderId="52" xfId="0" applyFont="1" applyFill="1" applyBorder="1" applyAlignment="1">
      <alignment horizontal="center" vertical="center"/>
    </xf>
    <xf numFmtId="0" fontId="8" fillId="16" borderId="53" xfId="0" applyFont="1" applyFill="1" applyBorder="1" applyAlignment="1">
      <alignment horizontal="center" vertical="center"/>
    </xf>
    <xf numFmtId="0" fontId="8" fillId="16" borderId="5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1" fillId="19" borderId="52" xfId="0" applyFont="1" applyFill="1" applyBorder="1" applyAlignment="1" applyProtection="1">
      <alignment horizontal="center" vertical="center" wrapText="1"/>
      <protection/>
    </xf>
    <xf numFmtId="0" fontId="31" fillId="19" borderId="54" xfId="0" applyFont="1" applyFill="1" applyBorder="1" applyAlignment="1" applyProtection="1">
      <alignment horizontal="center" vertical="center" wrapText="1"/>
      <protection/>
    </xf>
    <xf numFmtId="0" fontId="1" fillId="22" borderId="52" xfId="0" applyFont="1" applyFill="1" applyBorder="1" applyAlignment="1" applyProtection="1">
      <alignment horizontal="center" vertical="center" wrapText="1"/>
      <protection/>
    </xf>
    <xf numFmtId="0" fontId="1" fillId="22" borderId="54" xfId="0" applyFont="1" applyFill="1" applyBorder="1" applyAlignment="1" applyProtection="1">
      <alignment horizontal="center" vertical="center" wrapText="1"/>
      <protection/>
    </xf>
    <xf numFmtId="0" fontId="8" fillId="25" borderId="52" xfId="0" applyFont="1" applyFill="1" applyBorder="1" applyAlignment="1">
      <alignment horizontal="center" vertical="center" wrapText="1"/>
    </xf>
    <xf numFmtId="0" fontId="8" fillId="25" borderId="53" xfId="0" applyFont="1" applyFill="1" applyBorder="1" applyAlignment="1">
      <alignment horizontal="center" vertical="center" wrapText="1"/>
    </xf>
    <xf numFmtId="0" fontId="32" fillId="25" borderId="53" xfId="0" applyFont="1" applyFill="1" applyBorder="1" applyAlignment="1">
      <alignment horizontal="center" vertical="center" wrapText="1"/>
    </xf>
    <xf numFmtId="0" fontId="32" fillId="25" borderId="54" xfId="0" applyFont="1" applyFill="1" applyBorder="1" applyAlignment="1">
      <alignment horizontal="center" vertical="center" wrapText="1"/>
    </xf>
    <xf numFmtId="0" fontId="1" fillId="22" borderId="51" xfId="0" applyFont="1" applyFill="1" applyBorder="1" applyAlignment="1">
      <alignment horizontal="center" vertical="center" wrapText="1"/>
    </xf>
    <xf numFmtId="0" fontId="0" fillId="22" borderId="30" xfId="0" applyFill="1" applyBorder="1" applyAlignment="1">
      <alignment horizontal="center" wrapText="1"/>
    </xf>
    <xf numFmtId="0" fontId="0" fillId="22" borderId="36" xfId="0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/>
    </xf>
    <xf numFmtId="0" fontId="0" fillId="0" borderId="51" xfId="0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10" fontId="0" fillId="0" borderId="48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justify" vertical="center"/>
    </xf>
    <xf numFmtId="2" fontId="0" fillId="0" borderId="22" xfId="0" applyNumberForma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0" fillId="0" borderId="51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3" fillId="0" borderId="30" xfId="0" applyFont="1" applyBorder="1" applyAlignment="1">
      <alignment wrapText="1"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8" fillId="25" borderId="52" xfId="0" applyFont="1" applyFill="1" applyBorder="1" applyAlignment="1">
      <alignment horizontal="center" vertical="center"/>
    </xf>
    <xf numFmtId="0" fontId="32" fillId="25" borderId="53" xfId="0" applyFont="1" applyFill="1" applyBorder="1" applyAlignment="1">
      <alignment horizontal="center" vertical="center"/>
    </xf>
    <xf numFmtId="0" fontId="32" fillId="25" borderId="54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zoomScale="85" zoomScaleNormal="85" zoomScalePageLayoutView="0" workbookViewId="0" topLeftCell="A7">
      <pane xSplit="2" topLeftCell="J1" activePane="topRight" state="frozen"/>
      <selection pane="topLeft" activeCell="H25" sqref="H25"/>
      <selection pane="topRight" activeCell="Y18" sqref="Y18:Z18"/>
    </sheetView>
  </sheetViews>
  <sheetFormatPr defaultColWidth="11.421875" defaultRowHeight="12.75"/>
  <cols>
    <col min="1" max="1" width="10.57421875" style="0" customWidth="1"/>
    <col min="2" max="2" width="43.140625" style="2" customWidth="1"/>
    <col min="3" max="3" width="13.421875" style="0" customWidth="1"/>
    <col min="4" max="4" width="14.28125" style="0" customWidth="1"/>
    <col min="5" max="5" width="12.8515625" style="0" customWidth="1"/>
    <col min="6" max="6" width="13.140625" style="0" customWidth="1"/>
    <col min="7" max="7" width="12.8515625" style="0" customWidth="1"/>
    <col min="8" max="8" width="14.28125" style="0" customWidth="1"/>
    <col min="9" max="9" width="11.8515625" style="0" customWidth="1"/>
    <col min="10" max="11" width="11.57421875" style="0" customWidth="1"/>
    <col min="12" max="12" width="13.00390625" style="0" customWidth="1"/>
    <col min="13" max="13" width="12.28125" style="0" customWidth="1"/>
    <col min="14" max="14" width="13.421875" style="0" customWidth="1"/>
    <col min="15" max="15" width="11.8515625" style="0" customWidth="1"/>
    <col min="16" max="16" width="13.421875" style="0" customWidth="1"/>
    <col min="17" max="17" width="12.140625" style="0" customWidth="1"/>
    <col min="18" max="18" width="12.57421875" style="0" customWidth="1"/>
    <col min="19" max="19" width="13.57421875" style="0" customWidth="1"/>
    <col min="20" max="20" width="14.00390625" style="0" customWidth="1"/>
    <col min="21" max="21" width="14.140625" style="0" customWidth="1"/>
    <col min="22" max="22" width="13.57421875" style="0" customWidth="1"/>
    <col min="23" max="23" width="14.421875" style="0" customWidth="1"/>
    <col min="24" max="24" width="17.00390625" style="0" customWidth="1"/>
    <col min="25" max="25" width="13.7109375" style="0" customWidth="1"/>
    <col min="26" max="26" width="16.00390625" style="0" customWidth="1"/>
  </cols>
  <sheetData>
    <row r="1" ht="12.75">
      <c r="A1" s="8" t="s">
        <v>5</v>
      </c>
    </row>
    <row r="5" spans="2:16" ht="47.25" customHeight="1">
      <c r="B5" s="59" t="s">
        <v>45</v>
      </c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2"/>
      <c r="P5" s="62"/>
    </row>
    <row r="6" spans="2:16" ht="102">
      <c r="B6" s="63" t="s">
        <v>46</v>
      </c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1"/>
      <c r="P6" s="61"/>
    </row>
    <row r="8" ht="13.5" thickBot="1"/>
    <row r="9" spans="2:26" s="91" customFormat="1" ht="24.75" customHeight="1" thickBot="1">
      <c r="B9" s="92" t="s">
        <v>2</v>
      </c>
      <c r="C9" s="97">
        <v>1</v>
      </c>
      <c r="D9" s="98"/>
      <c r="E9" s="97">
        <v>2</v>
      </c>
      <c r="F9" s="98"/>
      <c r="G9" s="97">
        <v>3</v>
      </c>
      <c r="H9" s="98"/>
      <c r="I9" s="97">
        <v>4</v>
      </c>
      <c r="J9" s="98"/>
      <c r="K9" s="97">
        <v>5</v>
      </c>
      <c r="L9" s="98"/>
      <c r="M9" s="97">
        <v>6</v>
      </c>
      <c r="N9" s="98"/>
      <c r="O9" s="108">
        <v>8</v>
      </c>
      <c r="P9" s="109"/>
      <c r="Q9" s="109"/>
      <c r="R9" s="110"/>
      <c r="S9" s="108">
        <v>8</v>
      </c>
      <c r="T9" s="109"/>
      <c r="U9" s="109"/>
      <c r="V9" s="110"/>
      <c r="W9" s="108">
        <v>9</v>
      </c>
      <c r="X9" s="109"/>
      <c r="Y9" s="109"/>
      <c r="Z9" s="110"/>
    </row>
    <row r="10" spans="2:26" ht="12.75" customHeight="1">
      <c r="B10" s="99" t="s">
        <v>3</v>
      </c>
      <c r="C10" s="102" t="s">
        <v>49</v>
      </c>
      <c r="D10" s="103"/>
      <c r="E10" s="102" t="s">
        <v>50</v>
      </c>
      <c r="F10" s="103"/>
      <c r="G10" s="102" t="s">
        <v>52</v>
      </c>
      <c r="H10" s="103"/>
      <c r="I10" s="102" t="s">
        <v>53</v>
      </c>
      <c r="J10" s="103"/>
      <c r="K10" s="102" t="s">
        <v>54</v>
      </c>
      <c r="L10" s="103"/>
      <c r="M10" s="102" t="s">
        <v>55</v>
      </c>
      <c r="N10" s="103"/>
      <c r="O10" s="113" t="s">
        <v>47</v>
      </c>
      <c r="P10" s="114"/>
      <c r="Q10" s="114"/>
      <c r="R10" s="95"/>
      <c r="S10" s="113" t="s">
        <v>48</v>
      </c>
      <c r="T10" s="114"/>
      <c r="U10" s="114"/>
      <c r="V10" s="95"/>
      <c r="W10" s="113" t="s">
        <v>51</v>
      </c>
      <c r="X10" s="114"/>
      <c r="Y10" s="114"/>
      <c r="Z10" s="95"/>
    </row>
    <row r="11" spans="2:26" ht="13.5" thickBot="1">
      <c r="B11" s="100"/>
      <c r="C11" s="104"/>
      <c r="D11" s="105"/>
      <c r="E11" s="104"/>
      <c r="F11" s="105"/>
      <c r="G11" s="104"/>
      <c r="H11" s="105"/>
      <c r="I11" s="104"/>
      <c r="J11" s="105"/>
      <c r="K11" s="104"/>
      <c r="L11" s="105"/>
      <c r="M11" s="104"/>
      <c r="N11" s="105"/>
      <c r="O11" s="115"/>
      <c r="P11" s="116"/>
      <c r="Q11" s="116"/>
      <c r="R11" s="117"/>
      <c r="S11" s="115"/>
      <c r="T11" s="116"/>
      <c r="U11" s="116"/>
      <c r="V11" s="117"/>
      <c r="W11" s="115"/>
      <c r="X11" s="116"/>
      <c r="Y11" s="116"/>
      <c r="Z11" s="117"/>
    </row>
    <row r="12" spans="2:26" ht="25.5" customHeight="1" thickBot="1">
      <c r="B12" s="101"/>
      <c r="C12" s="106"/>
      <c r="D12" s="107"/>
      <c r="E12" s="106"/>
      <c r="F12" s="107"/>
      <c r="G12" s="106"/>
      <c r="H12" s="107"/>
      <c r="I12" s="106"/>
      <c r="J12" s="107"/>
      <c r="K12" s="106"/>
      <c r="L12" s="107"/>
      <c r="M12" s="106"/>
      <c r="N12" s="107"/>
      <c r="O12" s="111" t="s">
        <v>58</v>
      </c>
      <c r="P12" s="112"/>
      <c r="Q12" s="111" t="s">
        <v>59</v>
      </c>
      <c r="R12" s="112"/>
      <c r="S12" s="111" t="s">
        <v>60</v>
      </c>
      <c r="T12" s="112"/>
      <c r="U12" s="111" t="s">
        <v>74</v>
      </c>
      <c r="V12" s="112"/>
      <c r="W12" s="111" t="s">
        <v>61</v>
      </c>
      <c r="X12" s="112"/>
      <c r="Y12" s="111" t="s">
        <v>62</v>
      </c>
      <c r="Z12" s="112"/>
    </row>
    <row r="13" spans="2:26" ht="13.5" thickBot="1">
      <c r="B13" s="9" t="s">
        <v>0</v>
      </c>
      <c r="C13" s="6" t="s">
        <v>1</v>
      </c>
      <c r="D13" s="7" t="s">
        <v>23</v>
      </c>
      <c r="E13" s="6" t="s">
        <v>1</v>
      </c>
      <c r="F13" s="7" t="s">
        <v>23</v>
      </c>
      <c r="G13" s="6" t="s">
        <v>1</v>
      </c>
      <c r="H13" s="7" t="s">
        <v>23</v>
      </c>
      <c r="I13" s="6" t="s">
        <v>1</v>
      </c>
      <c r="J13" s="7" t="s">
        <v>23</v>
      </c>
      <c r="K13" s="6" t="s">
        <v>1</v>
      </c>
      <c r="L13" s="7" t="s">
        <v>23</v>
      </c>
      <c r="M13" s="6" t="s">
        <v>1</v>
      </c>
      <c r="N13" s="7" t="s">
        <v>23</v>
      </c>
      <c r="O13" s="6" t="s">
        <v>1</v>
      </c>
      <c r="P13" s="7" t="s">
        <v>23</v>
      </c>
      <c r="Q13" s="6" t="s">
        <v>1</v>
      </c>
      <c r="R13" s="7" t="s">
        <v>23</v>
      </c>
      <c r="S13" s="6" t="s">
        <v>1</v>
      </c>
      <c r="T13" s="7" t="s">
        <v>23</v>
      </c>
      <c r="U13" s="6" t="s">
        <v>1</v>
      </c>
      <c r="V13" s="7" t="s">
        <v>23</v>
      </c>
      <c r="W13" s="81" t="s">
        <v>1</v>
      </c>
      <c r="X13" s="56" t="s">
        <v>23</v>
      </c>
      <c r="Y13" s="6" t="s">
        <v>1</v>
      </c>
      <c r="Z13" s="7" t="s">
        <v>23</v>
      </c>
    </row>
    <row r="14" spans="2:26" ht="76.5">
      <c r="B14" s="45" t="s">
        <v>40</v>
      </c>
      <c r="C14" s="36" t="s">
        <v>63</v>
      </c>
      <c r="D14" s="74" t="s">
        <v>85</v>
      </c>
      <c r="E14" s="36" t="s">
        <v>96</v>
      </c>
      <c r="F14" s="74" t="s">
        <v>85</v>
      </c>
      <c r="G14" s="36" t="s">
        <v>94</v>
      </c>
      <c r="H14" s="74" t="s">
        <v>85</v>
      </c>
      <c r="I14" s="36" t="s">
        <v>91</v>
      </c>
      <c r="J14" s="28"/>
      <c r="K14" s="36" t="s">
        <v>86</v>
      </c>
      <c r="L14" s="74" t="s">
        <v>85</v>
      </c>
      <c r="M14" s="36" t="s">
        <v>84</v>
      </c>
      <c r="N14" s="74" t="s">
        <v>85</v>
      </c>
      <c r="O14" s="36" t="s">
        <v>80</v>
      </c>
      <c r="P14" s="28"/>
      <c r="Q14" s="36" t="s">
        <v>79</v>
      </c>
      <c r="R14" s="28"/>
      <c r="S14" s="36" t="s">
        <v>77</v>
      </c>
      <c r="T14" s="28"/>
      <c r="U14" s="36" t="s">
        <v>72</v>
      </c>
      <c r="V14" s="75"/>
      <c r="W14" s="36" t="s">
        <v>68</v>
      </c>
      <c r="X14" s="28" t="s">
        <v>102</v>
      </c>
      <c r="Y14" s="79" t="s">
        <v>70</v>
      </c>
      <c r="Z14" s="28" t="s">
        <v>102</v>
      </c>
    </row>
    <row r="15" spans="2:26" ht="47.25" customHeight="1">
      <c r="B15" s="46" t="s">
        <v>41</v>
      </c>
      <c r="C15" s="37" t="s">
        <v>64</v>
      </c>
      <c r="D15" s="4"/>
      <c r="E15" s="37" t="s">
        <v>98</v>
      </c>
      <c r="F15" s="4"/>
      <c r="G15" s="37" t="s">
        <v>95</v>
      </c>
      <c r="H15" s="4"/>
      <c r="I15" s="37" t="s">
        <v>66</v>
      </c>
      <c r="J15" s="4"/>
      <c r="K15" s="37" t="s">
        <v>87</v>
      </c>
      <c r="L15" s="4"/>
      <c r="M15" s="37" t="s">
        <v>83</v>
      </c>
      <c r="N15" s="4"/>
      <c r="O15" s="37" t="s">
        <v>75</v>
      </c>
      <c r="P15" s="4"/>
      <c r="Q15" s="37" t="s">
        <v>78</v>
      </c>
      <c r="R15" s="4"/>
      <c r="S15" s="37" t="s">
        <v>78</v>
      </c>
      <c r="T15" s="4"/>
      <c r="U15" s="37" t="s">
        <v>73</v>
      </c>
      <c r="V15" s="76"/>
      <c r="W15" s="82" t="s">
        <v>66</v>
      </c>
      <c r="X15" s="4"/>
      <c r="Y15" s="80" t="s">
        <v>69</v>
      </c>
      <c r="Z15" s="4"/>
    </row>
    <row r="16" spans="2:26" ht="76.5">
      <c r="B16" s="46" t="s">
        <v>6</v>
      </c>
      <c r="C16" s="37"/>
      <c r="D16" s="26" t="s">
        <v>100</v>
      </c>
      <c r="E16" s="37" t="s">
        <v>67</v>
      </c>
      <c r="F16" s="38"/>
      <c r="G16" s="37"/>
      <c r="H16" s="26" t="s">
        <v>101</v>
      </c>
      <c r="I16" s="37" t="s">
        <v>92</v>
      </c>
      <c r="J16" s="26"/>
      <c r="K16" s="37" t="s">
        <v>88</v>
      </c>
      <c r="L16" s="38"/>
      <c r="M16" s="37" t="s">
        <v>82</v>
      </c>
      <c r="N16" s="26"/>
      <c r="O16" s="37"/>
      <c r="P16" s="26" t="s">
        <v>101</v>
      </c>
      <c r="Q16" s="37" t="s">
        <v>67</v>
      </c>
      <c r="R16" s="26"/>
      <c r="S16" s="37" t="s">
        <v>67</v>
      </c>
      <c r="T16" s="26"/>
      <c r="U16" s="37" t="s">
        <v>67</v>
      </c>
      <c r="V16" s="77"/>
      <c r="W16" s="82" t="s">
        <v>67</v>
      </c>
      <c r="X16" s="26"/>
      <c r="Y16" s="80"/>
      <c r="Z16" s="26" t="s">
        <v>101</v>
      </c>
    </row>
    <row r="17" spans="2:26" ht="115.5" thickBot="1">
      <c r="B17" s="44" t="s">
        <v>7</v>
      </c>
      <c r="C17" s="37" t="s">
        <v>65</v>
      </c>
      <c r="D17" s="5"/>
      <c r="E17" s="37" t="s">
        <v>97</v>
      </c>
      <c r="F17" s="5"/>
      <c r="G17" s="37" t="s">
        <v>93</v>
      </c>
      <c r="H17" s="5"/>
      <c r="I17" s="37" t="s">
        <v>43</v>
      </c>
      <c r="J17" s="5"/>
      <c r="K17" s="37" t="s">
        <v>89</v>
      </c>
      <c r="L17" s="88" t="s">
        <v>90</v>
      </c>
      <c r="M17" s="37" t="s">
        <v>44</v>
      </c>
      <c r="N17" s="5"/>
      <c r="O17" s="37" t="s">
        <v>76</v>
      </c>
      <c r="P17" s="5"/>
      <c r="Q17" s="37" t="s">
        <v>81</v>
      </c>
      <c r="R17" s="5"/>
      <c r="S17" s="37" t="s">
        <v>76</v>
      </c>
      <c r="T17" s="5"/>
      <c r="U17" s="37" t="s">
        <v>75</v>
      </c>
      <c r="V17" s="78"/>
      <c r="W17" s="83" t="s">
        <v>64</v>
      </c>
      <c r="X17" s="84" t="s">
        <v>99</v>
      </c>
      <c r="Y17" s="80" t="s">
        <v>71</v>
      </c>
      <c r="Z17" s="5"/>
    </row>
    <row r="18" spans="2:26" s="69" customFormat="1" ht="24.75" customHeight="1" thickBot="1">
      <c r="B18" s="70" t="s">
        <v>4</v>
      </c>
      <c r="C18" s="118" t="str">
        <f>IF(D24=TRUE,"CUMPLE","PENDIENTE")</f>
        <v>PENDIENTE</v>
      </c>
      <c r="D18" s="119"/>
      <c r="E18" s="118" t="str">
        <f>IF(F24=TRUE,"CUMPLE","PENDIENTE")</f>
        <v>PENDIENTE</v>
      </c>
      <c r="F18" s="119"/>
      <c r="G18" s="118" t="str">
        <f>IF(H24=TRUE,"CUMPLE","PENDIENTE")</f>
        <v>PENDIENTE</v>
      </c>
      <c r="H18" s="119"/>
      <c r="I18" s="120" t="str">
        <f>IF(J24=TRUE,"CUMPLE","PENDIENTE")</f>
        <v>CUMPLE</v>
      </c>
      <c r="J18" s="121"/>
      <c r="K18" s="118" t="str">
        <f>IF(L24=TRUE,"CUMPLE","PENDIENTE")</f>
        <v>PENDIENTE</v>
      </c>
      <c r="L18" s="119"/>
      <c r="M18" s="118" t="str">
        <f>IF(N24=TRUE,"CUMPLE","PENDIENTE")</f>
        <v>PENDIENTE</v>
      </c>
      <c r="N18" s="119"/>
      <c r="O18" s="118" t="str">
        <f>IF(P24=TRUE,"CUMPLE","PENDIENTE")</f>
        <v>PENDIENTE</v>
      </c>
      <c r="P18" s="119"/>
      <c r="Q18" s="120" t="str">
        <f>IF(R24=TRUE,"CUMPLE","PENDIENTE")</f>
        <v>CUMPLE</v>
      </c>
      <c r="R18" s="121"/>
      <c r="S18" s="120" t="str">
        <f>IF(T24=TRUE,"CUMPLE","PENDIENTE")</f>
        <v>CUMPLE</v>
      </c>
      <c r="T18" s="121"/>
      <c r="U18" s="120" t="str">
        <f>IF(V24=TRUE,"CUMPLE","PENDIENTE")</f>
        <v>CUMPLE</v>
      </c>
      <c r="V18" s="121"/>
      <c r="W18" s="118" t="str">
        <f>IF(X24=TRUE,"CUMPLE","PENDIENTE")</f>
        <v>PENDIENTE</v>
      </c>
      <c r="X18" s="119"/>
      <c r="Y18" s="118" t="str">
        <f>IF(Z24=TRUE,"CUMPLE","PENDIENTE")</f>
        <v>PENDIENTE</v>
      </c>
      <c r="Z18" s="119"/>
    </row>
    <row r="19" s="67" customFormat="1" ht="12.75">
      <c r="B19" s="68"/>
    </row>
    <row r="20" ht="12.75" hidden="1"/>
    <row r="21" ht="12.75" hidden="1"/>
    <row r="22" ht="12.75" hidden="1"/>
    <row r="23" ht="12.75" hidden="1"/>
    <row r="24" spans="4:26" ht="12.75" hidden="1">
      <c r="D24" t="b">
        <f>AND(D14="",D15="",D16="",D17="")</f>
        <v>0</v>
      </c>
      <c r="F24" t="b">
        <f>AND(F14="",F15="",F16="",F17="")</f>
        <v>0</v>
      </c>
      <c r="H24" t="b">
        <f>AND(H14="",H15="",H16="",H17="")</f>
        <v>0</v>
      </c>
      <c r="J24" t="b">
        <f>AND(J14="",J15="",J16="",J17="")</f>
        <v>1</v>
      </c>
      <c r="L24" t="b">
        <f>AND(L14="",L15="",L16="",L17="")</f>
        <v>0</v>
      </c>
      <c r="N24" t="b">
        <f>AND(N14="",N15="",N16="",N17="")</f>
        <v>0</v>
      </c>
      <c r="P24" t="b">
        <f>AND(P14="",P15="",P16="",P17="")</f>
        <v>0</v>
      </c>
      <c r="R24" t="b">
        <f>AND(R14="",R15="",R16="",R17="")</f>
        <v>1</v>
      </c>
      <c r="T24" t="b">
        <f>AND(T14="",T15="",T16="",T17="")</f>
        <v>1</v>
      </c>
      <c r="V24" t="b">
        <f>AND(V14="",V15="",V16="",V17="")</f>
        <v>1</v>
      </c>
      <c r="X24" t="b">
        <f>AND(X14="",X15="",X16="",X17="")</f>
        <v>0</v>
      </c>
      <c r="Z24" t="b">
        <f>AND(Z14="",Z15="",Z16="",Z17="")</f>
        <v>0</v>
      </c>
    </row>
    <row r="25" ht="12.75" hidden="1"/>
    <row r="26" ht="12.75" hidden="1"/>
    <row r="27" ht="12.75" hidden="1"/>
    <row r="28" ht="12.75" hidden="1"/>
    <row r="30" ht="12.75">
      <c r="K30" s="96" t="s">
        <v>103</v>
      </c>
    </row>
  </sheetData>
  <sheetProtection/>
  <mergeCells count="37"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O18:P18"/>
    <mergeCell ref="Q18:R18"/>
    <mergeCell ref="S9:V9"/>
    <mergeCell ref="W9:Z9"/>
    <mergeCell ref="W10:Z11"/>
    <mergeCell ref="W12:X12"/>
    <mergeCell ref="Y12:Z12"/>
    <mergeCell ref="S10:V11"/>
    <mergeCell ref="S12:T12"/>
    <mergeCell ref="U12:V12"/>
    <mergeCell ref="O9:R9"/>
    <mergeCell ref="I10:J12"/>
    <mergeCell ref="O12:P12"/>
    <mergeCell ref="Q12:R12"/>
    <mergeCell ref="O10:R11"/>
    <mergeCell ref="K9:L9"/>
    <mergeCell ref="K10:L12"/>
    <mergeCell ref="M9:N9"/>
    <mergeCell ref="M10:N12"/>
    <mergeCell ref="C9:D9"/>
    <mergeCell ref="B10:B12"/>
    <mergeCell ref="C10:D12"/>
    <mergeCell ref="I9:J9"/>
    <mergeCell ref="G9:H9"/>
    <mergeCell ref="G10:H12"/>
    <mergeCell ref="E9:F9"/>
    <mergeCell ref="E10:F12"/>
  </mergeCells>
  <hyperlinks>
    <hyperlink ref="A1" location="Hoja1!A1" display="VOLVER AL MENU"/>
  </hyperlinks>
  <printOptions/>
  <pageMargins left="0.86" right="0.48" top="1.38" bottom="1" header="0" footer="0"/>
  <pageSetup fitToWidth="3" horizontalDpi="200" verticalDpi="200" orientation="landscape" scale="78" r:id="rId1"/>
  <colBreaks count="2" manualBreakCount="2">
    <brk id="10" min="8" max="17" man="1"/>
    <brk id="18" min="8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="85" zoomScaleNormal="85" zoomScalePageLayoutView="0" workbookViewId="0" topLeftCell="A10">
      <pane xSplit="3" topLeftCell="D1" activePane="topRight" state="frozen"/>
      <selection pane="topLeft" activeCell="H25" sqref="H25"/>
      <selection pane="topRight" activeCell="G36" sqref="G36"/>
    </sheetView>
  </sheetViews>
  <sheetFormatPr defaultColWidth="11.421875" defaultRowHeight="12.75"/>
  <cols>
    <col min="1" max="1" width="7.57421875" style="58" customWidth="1"/>
    <col min="2" max="2" width="39.57421875" style="2" customWidth="1"/>
    <col min="3" max="3" width="19.28125" style="2" customWidth="1"/>
    <col min="4" max="4" width="16.7109375" style="2" customWidth="1"/>
    <col min="5" max="20" width="16.140625" style="0" customWidth="1"/>
    <col min="21" max="21" width="14.8515625" style="0" customWidth="1"/>
    <col min="22" max="25" width="16.140625" style="0" customWidth="1"/>
    <col min="26" max="27" width="16.421875" style="0" bestFit="1" customWidth="1"/>
    <col min="28" max="28" width="14.57421875" style="0" customWidth="1"/>
    <col min="29" max="29" width="16.7109375" style="0" customWidth="1"/>
    <col min="30" max="31" width="16.421875" style="0" bestFit="1" customWidth="1"/>
    <col min="32" max="32" width="15.00390625" style="0" customWidth="1"/>
    <col min="33" max="33" width="17.140625" style="0" customWidth="1"/>
  </cols>
  <sheetData>
    <row r="1" ht="12.75">
      <c r="A1" s="65" t="s">
        <v>5</v>
      </c>
    </row>
    <row r="4" ht="13.5" thickBot="1"/>
    <row r="5" spans="2:25" ht="54.75" customHeight="1">
      <c r="B5" s="155" t="str">
        <f>+'VERIFICACION DE LOS D. FINANCIE'!B5</f>
        <v>EVALUACIÓN FINANCIERA: CONVOCATORIA PUBLICA Nº 012 DE 2008</v>
      </c>
      <c r="C5" s="15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  <c r="W5" s="40"/>
      <c r="X5" s="41"/>
      <c r="Y5" s="42"/>
    </row>
    <row r="6" spans="2:25" ht="76.5" customHeight="1" thickBot="1">
      <c r="B6" s="157" t="str">
        <f>+'VERIFICACION DE LOS D. FINANCIE'!B6</f>
        <v>OBJETO: ADECUACION DE LA SEDE DE LA ACADEMIA LUIS A. CALVO ADSCRITA A LA FACULTAD DE ARTES DE LA UNIVERSIDAD DISTRITAL FRANCISCO JOSE DE CALDAS, UBICADA EN LA CARRERA 9 Nº 52-52, CONSISTENTE EN EL CAMBIO DE LA CUBIERTA Y EL SUMINISTRO E INSTALACION DEL SISTEMA DE AIRE ACONDICIONADO. </v>
      </c>
      <c r="C6" s="158"/>
      <c r="D6" s="43"/>
      <c r="E6" s="1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1"/>
      <c r="W6" s="161"/>
      <c r="X6" s="161"/>
      <c r="Y6" s="162"/>
    </row>
    <row r="8" ht="13.5" thickBot="1"/>
    <row r="9" spans="1:33" s="94" customFormat="1" ht="24.75" customHeight="1" thickBot="1">
      <c r="A9" s="93"/>
      <c r="B9" s="122" t="s">
        <v>2</v>
      </c>
      <c r="C9" s="125"/>
      <c r="D9" s="163">
        <v>1</v>
      </c>
      <c r="E9" s="164"/>
      <c r="F9" s="165"/>
      <c r="G9" s="163">
        <v>2</v>
      </c>
      <c r="H9" s="164"/>
      <c r="I9" s="165"/>
      <c r="J9" s="163">
        <v>3</v>
      </c>
      <c r="K9" s="164"/>
      <c r="L9" s="165"/>
      <c r="M9" s="163">
        <v>4</v>
      </c>
      <c r="N9" s="164"/>
      <c r="O9" s="165"/>
      <c r="P9" s="163">
        <v>5</v>
      </c>
      <c r="Q9" s="164"/>
      <c r="R9" s="165"/>
      <c r="S9" s="163">
        <v>6</v>
      </c>
      <c r="T9" s="164"/>
      <c r="U9" s="165"/>
      <c r="V9" s="122">
        <v>7</v>
      </c>
      <c r="W9" s="123"/>
      <c r="X9" s="124"/>
      <c r="Y9" s="125"/>
      <c r="Z9" s="122">
        <v>8</v>
      </c>
      <c r="AA9" s="123"/>
      <c r="AB9" s="124"/>
      <c r="AC9" s="125"/>
      <c r="AD9" s="122">
        <v>9</v>
      </c>
      <c r="AE9" s="123"/>
      <c r="AF9" s="124"/>
      <c r="AG9" s="125"/>
    </row>
    <row r="10" spans="2:33" ht="12.75" customHeight="1">
      <c r="B10" s="102" t="s">
        <v>3</v>
      </c>
      <c r="C10" s="129"/>
      <c r="D10" s="102" t="str">
        <f>+'VERIFICACION DE LOS D. FINANCIE'!C10</f>
        <v>PROYECTAR INGENIERIA LTDA.</v>
      </c>
      <c r="E10" s="139"/>
      <c r="F10" s="140"/>
      <c r="G10" s="102" t="str">
        <f>+'VERIFICACION DE LOS D. FINANCIE'!E10</f>
        <v>CONTRUCCIONES MASTER Y CIA LTDA.</v>
      </c>
      <c r="H10" s="139"/>
      <c r="I10" s="140"/>
      <c r="J10" s="102" t="str">
        <f>+'VERIFICACION DE LOS D. FINANCIE'!G10</f>
        <v>HECTOR VICENTE RODRIGUEZ ROMERO</v>
      </c>
      <c r="K10" s="139"/>
      <c r="L10" s="140"/>
      <c r="M10" s="102" t="str">
        <f>+'VERIFICACION DE LOS D. FINANCIE'!I10</f>
        <v>GRUPO AZER S.A.</v>
      </c>
      <c r="N10" s="139"/>
      <c r="O10" s="140"/>
      <c r="P10" s="102" t="str">
        <f>+'VERIFICACION DE LOS D. FINANCIE'!K10</f>
        <v>INGEPLAQ LTDA.</v>
      </c>
      <c r="Q10" s="139"/>
      <c r="R10" s="140"/>
      <c r="S10" s="102" t="str">
        <f>+'VERIFICACION DE LOS D. FINANCIE'!M10</f>
        <v>IDACO LTDA.</v>
      </c>
      <c r="T10" s="139"/>
      <c r="U10" s="140"/>
      <c r="V10" s="102" t="str">
        <f>+'VERIFICACION DE LOS D. FINANCIE'!O10</f>
        <v>CONSORCIO INGENIEROS ASOCIADOS 2008</v>
      </c>
      <c r="W10" s="139"/>
      <c r="X10" s="139"/>
      <c r="Y10" s="140"/>
      <c r="Z10" s="102" t="str">
        <f>+'VERIFICACION DE LOS D. FINANCIE'!S10</f>
        <v>CONSORCIO VALSAN</v>
      </c>
      <c r="AA10" s="139"/>
      <c r="AB10" s="139"/>
      <c r="AC10" s="140"/>
      <c r="AD10" s="102" t="str">
        <f>+'VERIFICACION DE LOS D. FINANCIE'!W10</f>
        <v>CONSORCIO CONSORCIO C&amp;A 2008</v>
      </c>
      <c r="AE10" s="139"/>
      <c r="AF10" s="139"/>
      <c r="AG10" s="140"/>
    </row>
    <row r="11" spans="2:33" ht="12.75">
      <c r="B11" s="104"/>
      <c r="C11" s="130"/>
      <c r="D11" s="104"/>
      <c r="E11" s="141"/>
      <c r="F11" s="142"/>
      <c r="G11" s="104"/>
      <c r="H11" s="141"/>
      <c r="I11" s="142"/>
      <c r="J11" s="104"/>
      <c r="K11" s="141"/>
      <c r="L11" s="142"/>
      <c r="M11" s="104"/>
      <c r="N11" s="141"/>
      <c r="O11" s="142"/>
      <c r="P11" s="104"/>
      <c r="Q11" s="141"/>
      <c r="R11" s="142"/>
      <c r="S11" s="104"/>
      <c r="T11" s="141"/>
      <c r="U11" s="142"/>
      <c r="V11" s="48"/>
      <c r="W11" s="51"/>
      <c r="X11" s="51"/>
      <c r="Y11" s="52"/>
      <c r="Z11" s="48"/>
      <c r="AA11" s="51"/>
      <c r="AB11" s="51"/>
      <c r="AC11" s="52"/>
      <c r="AD11" s="48"/>
      <c r="AE11" s="51"/>
      <c r="AF11" s="51"/>
      <c r="AG11" s="52"/>
    </row>
    <row r="12" spans="2:33" ht="51.75" thickBot="1">
      <c r="B12" s="106"/>
      <c r="C12" s="131"/>
      <c r="D12" s="111"/>
      <c r="E12" s="143"/>
      <c r="F12" s="112"/>
      <c r="G12" s="111"/>
      <c r="H12" s="143"/>
      <c r="I12" s="112"/>
      <c r="J12" s="111"/>
      <c r="K12" s="143"/>
      <c r="L12" s="112"/>
      <c r="M12" s="111"/>
      <c r="N12" s="143"/>
      <c r="O12" s="112"/>
      <c r="P12" s="111"/>
      <c r="Q12" s="143"/>
      <c r="R12" s="112"/>
      <c r="S12" s="111"/>
      <c r="T12" s="143"/>
      <c r="U12" s="112"/>
      <c r="V12" s="49" t="str">
        <f>+'VERIFICACION DE LOS D. FINANCIE'!O12</f>
        <v>LINA VIVIANA GOMEZ CASANOVA</v>
      </c>
      <c r="W12" s="50" t="str">
        <f>+'VERIFICACION DE LOS D. FINANCIE'!Q12</f>
        <v>JOSE AGUSTIN CORTES HERRERA</v>
      </c>
      <c r="X12" s="53"/>
      <c r="Y12" s="54"/>
      <c r="Z12" s="49" t="str">
        <f>+'VERIFICACION DE LOS D. FINANCIE'!S12</f>
        <v>JUAN CARLOS SANABRIA RODRIGUEZ</v>
      </c>
      <c r="AA12" s="50" t="str">
        <f>+'VERIFICACION DE LOS D. FINANCIE'!U12</f>
        <v>GUILLERMO FERNANDO VALDES BELTRAN</v>
      </c>
      <c r="AB12" s="53"/>
      <c r="AC12" s="54"/>
      <c r="AD12" s="49" t="str">
        <f>+'VERIFICACION DE LOS D. FINANCIE'!W12</f>
        <v>CIMAQ PROYECTOS LTDA</v>
      </c>
      <c r="AE12" s="50" t="str">
        <f>+'VERIFICACION DE LOS D. FINANCIE'!Y12</f>
        <v>INBACON LTDA.</v>
      </c>
      <c r="AF12" s="53"/>
      <c r="AG12" s="54"/>
    </row>
    <row r="13" spans="1:33" s="3" customFormat="1" ht="25.5" customHeight="1" thickBot="1">
      <c r="A13" s="1"/>
      <c r="B13" s="132" t="s">
        <v>11</v>
      </c>
      <c r="C13" s="133"/>
      <c r="D13" s="144" t="s">
        <v>12</v>
      </c>
      <c r="E13" s="145"/>
      <c r="F13" s="133"/>
      <c r="G13" s="144" t="s">
        <v>12</v>
      </c>
      <c r="H13" s="145"/>
      <c r="I13" s="133"/>
      <c r="J13" s="144" t="s">
        <v>12</v>
      </c>
      <c r="K13" s="145"/>
      <c r="L13" s="133"/>
      <c r="M13" s="144" t="s">
        <v>12</v>
      </c>
      <c r="N13" s="145"/>
      <c r="O13" s="133"/>
      <c r="P13" s="144" t="s">
        <v>12</v>
      </c>
      <c r="Q13" s="145"/>
      <c r="R13" s="133"/>
      <c r="S13" s="144" t="s">
        <v>12</v>
      </c>
      <c r="T13" s="145"/>
      <c r="U13" s="133"/>
      <c r="V13" s="85">
        <v>0.5</v>
      </c>
      <c r="W13" s="85">
        <v>0.5</v>
      </c>
      <c r="X13" s="86"/>
      <c r="Y13" s="87"/>
      <c r="Z13" s="85">
        <v>0.4</v>
      </c>
      <c r="AA13" s="85">
        <v>0.6</v>
      </c>
      <c r="AB13" s="86"/>
      <c r="AC13" s="87"/>
      <c r="AD13" s="85">
        <v>0.25</v>
      </c>
      <c r="AE13" s="85">
        <v>0.75</v>
      </c>
      <c r="AF13" s="86"/>
      <c r="AG13" s="87"/>
    </row>
    <row r="14" spans="2:33" ht="13.5" thickBot="1">
      <c r="B14" s="10" t="s">
        <v>0</v>
      </c>
      <c r="C14" s="16" t="s">
        <v>13</v>
      </c>
      <c r="D14" s="10" t="s">
        <v>9</v>
      </c>
      <c r="E14" s="17" t="s">
        <v>8</v>
      </c>
      <c r="F14" s="18" t="s">
        <v>10</v>
      </c>
      <c r="G14" s="10" t="s">
        <v>9</v>
      </c>
      <c r="H14" s="55" t="s">
        <v>8</v>
      </c>
      <c r="I14" s="56" t="s">
        <v>10</v>
      </c>
      <c r="J14" s="10" t="s">
        <v>9</v>
      </c>
      <c r="K14" s="55" t="s">
        <v>8</v>
      </c>
      <c r="L14" s="56" t="s">
        <v>10</v>
      </c>
      <c r="M14" s="10" t="s">
        <v>9</v>
      </c>
      <c r="N14" s="55" t="s">
        <v>8</v>
      </c>
      <c r="O14" s="56" t="s">
        <v>10</v>
      </c>
      <c r="P14" s="10" t="s">
        <v>9</v>
      </c>
      <c r="Q14" s="55" t="s">
        <v>8</v>
      </c>
      <c r="R14" s="56" t="s">
        <v>10</v>
      </c>
      <c r="S14" s="10" t="s">
        <v>9</v>
      </c>
      <c r="T14" s="55" t="s">
        <v>8</v>
      </c>
      <c r="U14" s="56" t="s">
        <v>10</v>
      </c>
      <c r="V14" s="9" t="s">
        <v>9</v>
      </c>
      <c r="W14" s="9" t="s">
        <v>9</v>
      </c>
      <c r="X14" s="55" t="s">
        <v>8</v>
      </c>
      <c r="Y14" s="56" t="s">
        <v>10</v>
      </c>
      <c r="Z14" s="9" t="s">
        <v>9</v>
      </c>
      <c r="AA14" s="9" t="s">
        <v>9</v>
      </c>
      <c r="AB14" s="55" t="s">
        <v>8</v>
      </c>
      <c r="AC14" s="56" t="s">
        <v>10</v>
      </c>
      <c r="AD14" s="9" t="s">
        <v>9</v>
      </c>
      <c r="AE14" s="9" t="s">
        <v>9</v>
      </c>
      <c r="AF14" s="55" t="s">
        <v>8</v>
      </c>
      <c r="AG14" s="56" t="s">
        <v>10</v>
      </c>
    </row>
    <row r="15" spans="1:33" ht="31.5" customHeight="1">
      <c r="A15" s="66">
        <v>0.7</v>
      </c>
      <c r="B15" s="134" t="s">
        <v>42</v>
      </c>
      <c r="C15" s="11" t="s">
        <v>15</v>
      </c>
      <c r="D15" s="34">
        <v>604772.01</v>
      </c>
      <c r="E15" s="137">
        <f>+IF(D15="","",D15/D16)</f>
        <v>0.6877806133045479</v>
      </c>
      <c r="F15" s="153" t="str">
        <f>IF(E15&lt;=$A15,"CUMPLE","NO CUMPLE")</f>
        <v>CUMPLE</v>
      </c>
      <c r="G15" s="34">
        <v>19</v>
      </c>
      <c r="H15" s="137">
        <f>+IF(G15="","",G15/G16)</f>
        <v>7.591449932136234E-05</v>
      </c>
      <c r="I15" s="153" t="str">
        <f>+IF(H15&lt;=$A15,"CUMPLE","NO CUMPLE")</f>
        <v>CUMPLE</v>
      </c>
      <c r="J15" s="34">
        <v>6936.3</v>
      </c>
      <c r="K15" s="137">
        <f>+IF(J15="","",J15/J16)</f>
        <v>0.015483775051641044</v>
      </c>
      <c r="L15" s="153" t="str">
        <f>+IF(K15&lt;=$A15,"CUMPLE","NO CUMPLE")</f>
        <v>CUMPLE</v>
      </c>
      <c r="M15" s="34">
        <v>18426.7</v>
      </c>
      <c r="N15" s="137">
        <f>+IF(M15="","",M15/M16)</f>
        <v>0.08239187889639069</v>
      </c>
      <c r="O15" s="153" t="str">
        <f>+IF(N15&lt;=$A15,"CUMPLE","NO CUMPLE")</f>
        <v>CUMPLE</v>
      </c>
      <c r="P15" s="34">
        <v>951800.396</v>
      </c>
      <c r="Q15" s="137">
        <f>+IF(P15="","",P15/P16)</f>
        <v>0.6929682559273491</v>
      </c>
      <c r="R15" s="153" t="str">
        <f>+IF(Q15&lt;=$A15,"CUMPLE","NO CUMPLE")</f>
        <v>CUMPLE</v>
      </c>
      <c r="S15" s="34">
        <v>145722</v>
      </c>
      <c r="T15" s="137">
        <f>+IF(S15="","",S15/S16)</f>
        <v>0.48858847078467466</v>
      </c>
      <c r="U15" s="153" t="str">
        <f>+IF(T15&lt;=$A15,"CUMPLE","NO CUMPLE")</f>
        <v>CUMPLE</v>
      </c>
      <c r="V15" s="34">
        <v>7325.4</v>
      </c>
      <c r="W15" s="90">
        <v>5000</v>
      </c>
      <c r="X15" s="137">
        <f>+IF(V15="","",(((V15*V13)+(W15*W13))/((V16*V13)+(W16*W13))))</f>
        <v>0.032440376785709116</v>
      </c>
      <c r="Y15" s="153" t="str">
        <f>IF(X15&lt;=$A15,"CUMPLE","NO CUMPLE")</f>
        <v>CUMPLE</v>
      </c>
      <c r="Z15" s="34">
        <v>35795.58</v>
      </c>
      <c r="AA15" s="90">
        <v>6000</v>
      </c>
      <c r="AB15" s="137">
        <f>+IF(Z15="","",(((Z15*Z13)+(AA15*AA13))/((Z16*Z13)+(AA16*AA13))))</f>
        <v>0.05699009263063333</v>
      </c>
      <c r="AC15" s="153" t="str">
        <f>IF(AB15&lt;=0.7,"CUMPLE","NO CUMPLE")</f>
        <v>CUMPLE</v>
      </c>
      <c r="AD15" s="34">
        <v>131497</v>
      </c>
      <c r="AE15" s="90">
        <v>18853.254</v>
      </c>
      <c r="AF15" s="137">
        <f>+IF(AD15="","",(((AD15*AD13)+(AE15*AE13))/((AD16*AD13)+(AE16*AE13))))</f>
        <v>0.23156276731270187</v>
      </c>
      <c r="AG15" s="167" t="str">
        <f>IF(AF15&lt;=$A15,"CUMPLE","NO CUMPLE")</f>
        <v>CUMPLE</v>
      </c>
    </row>
    <row r="16" spans="2:33" ht="31.5" customHeight="1" thickBot="1">
      <c r="B16" s="135"/>
      <c r="C16" s="12" t="s">
        <v>16</v>
      </c>
      <c r="D16" s="23">
        <v>879309.475</v>
      </c>
      <c r="E16" s="138"/>
      <c r="F16" s="147"/>
      <c r="G16" s="23">
        <v>250281.569</v>
      </c>
      <c r="H16" s="138"/>
      <c r="I16" s="147"/>
      <c r="J16" s="23">
        <v>447972.15</v>
      </c>
      <c r="K16" s="138"/>
      <c r="L16" s="147"/>
      <c r="M16" s="23">
        <v>223647.042</v>
      </c>
      <c r="N16" s="138"/>
      <c r="O16" s="147"/>
      <c r="P16" s="23">
        <v>1373512.261</v>
      </c>
      <c r="Q16" s="138"/>
      <c r="R16" s="147"/>
      <c r="S16" s="23">
        <v>298251</v>
      </c>
      <c r="T16" s="138"/>
      <c r="U16" s="147"/>
      <c r="V16" s="23">
        <v>205822.1</v>
      </c>
      <c r="W16" s="89">
        <v>174118</v>
      </c>
      <c r="X16" s="138"/>
      <c r="Y16" s="147"/>
      <c r="Z16" s="23">
        <v>397142.39</v>
      </c>
      <c r="AA16" s="89">
        <v>259254.4</v>
      </c>
      <c r="AB16" s="138"/>
      <c r="AC16" s="147"/>
      <c r="AD16" s="23">
        <v>203383</v>
      </c>
      <c r="AE16" s="89">
        <v>202912.344</v>
      </c>
      <c r="AF16" s="138"/>
      <c r="AG16" s="168"/>
    </row>
    <row r="17" spans="1:33" ht="31.5" customHeight="1">
      <c r="A17" s="66">
        <v>0.3</v>
      </c>
      <c r="B17" s="136" t="s">
        <v>56</v>
      </c>
      <c r="C17" s="13" t="s">
        <v>17</v>
      </c>
      <c r="D17" s="23">
        <v>732947.554</v>
      </c>
      <c r="E17" s="151">
        <f>+IF(D17="","",D17-D18)</f>
        <v>282469.539</v>
      </c>
      <c r="F17" s="147" t="str">
        <f>+IF(E17&gt;=D$29,"CUMPLE"," NO CUMPLE")</f>
        <v>CUMPLE</v>
      </c>
      <c r="G17" s="23">
        <v>177897.307</v>
      </c>
      <c r="H17" s="151">
        <f>+IF(G17="","",G17-G18)</f>
        <v>177878.307</v>
      </c>
      <c r="I17" s="147" t="str">
        <f>+IF(H17&gt;=G$29,"CUMPLE"," NO CUMPLE")</f>
        <v>CUMPLE</v>
      </c>
      <c r="J17" s="23">
        <v>297652.4</v>
      </c>
      <c r="K17" s="151">
        <f>+IF(J17="","",J17-J18)</f>
        <v>290716.10000000003</v>
      </c>
      <c r="L17" s="147" t="str">
        <f>+IF(K17&gt;=J$29,"CUMPLE"," NO CUMPLE")</f>
        <v>CUMPLE</v>
      </c>
      <c r="M17" s="23">
        <v>124679.881</v>
      </c>
      <c r="N17" s="151">
        <f>+IF(M17="","",M17-M18)</f>
        <v>106253.181</v>
      </c>
      <c r="O17" s="147" t="str">
        <f>+IF(N17&gt;=M$29,"CUMPLE"," NO CUMPLE")</f>
        <v>CUMPLE</v>
      </c>
      <c r="P17" s="23">
        <v>1308100.046</v>
      </c>
      <c r="Q17" s="151">
        <f>+IF(P17="","",P17-P18)</f>
        <v>469541.82900000014</v>
      </c>
      <c r="R17" s="147" t="str">
        <f>+IF(Q17&gt;=P$29,"CUMPLE"," NO CUMPLE")</f>
        <v>CUMPLE</v>
      </c>
      <c r="S17" s="23">
        <v>240649</v>
      </c>
      <c r="T17" s="151">
        <f>+IF(S17="","",S17-S18)</f>
        <v>113627</v>
      </c>
      <c r="U17" s="147" t="str">
        <f>+IF(T17&gt;=S$29,"CUMPLE"," NO CUMPLE")</f>
        <v>CUMPLE</v>
      </c>
      <c r="V17" s="23">
        <v>100396.8</v>
      </c>
      <c r="W17" s="89">
        <v>139968</v>
      </c>
      <c r="X17" s="151">
        <f>+IF(V17="","",(((V17*V13)+(W17*W13))-((V18*V13)+(W18*W13))))</f>
        <v>114019.7</v>
      </c>
      <c r="Y17" s="147" t="str">
        <f>+IF(X17&gt;=V$29,"CUMPLE"," NO CUMPLE")</f>
        <v>CUMPLE</v>
      </c>
      <c r="Z17" s="23">
        <v>201967.463</v>
      </c>
      <c r="AA17" s="89">
        <v>98255.8</v>
      </c>
      <c r="AB17" s="151">
        <f>+IF(Z17="","",(((Z17*Z13)+(AA17*AA13))-((Z18*Z13)+(AA18*AA13))))</f>
        <v>121822.23319999997</v>
      </c>
      <c r="AC17" s="147" t="str">
        <f>+IF(AB17&gt;=Z$29,"CUMPLE"," NO CUMPLE")</f>
        <v>CUMPLE</v>
      </c>
      <c r="AD17" s="23">
        <v>64048</v>
      </c>
      <c r="AE17" s="89">
        <v>94953.227</v>
      </c>
      <c r="AF17" s="151">
        <f>+IF(AD17="","",(((AD17*AD13)+(AE17*AE13))-((AD18*AD13)+(AE18*AE13))))</f>
        <v>40212.72975</v>
      </c>
      <c r="AG17" s="168" t="str">
        <f>+IF(AF17&gt;=AD$29,"CUMPLE"," NO CUMPLE")</f>
        <v>CUMPLE</v>
      </c>
    </row>
    <row r="18" spans="2:33" ht="31.5" customHeight="1" thickBot="1">
      <c r="B18" s="135"/>
      <c r="C18" s="14" t="s">
        <v>18</v>
      </c>
      <c r="D18" s="23">
        <v>450478.015</v>
      </c>
      <c r="E18" s="151"/>
      <c r="F18" s="147"/>
      <c r="G18" s="23">
        <v>19</v>
      </c>
      <c r="H18" s="151"/>
      <c r="I18" s="147"/>
      <c r="J18" s="23">
        <v>6936.3</v>
      </c>
      <c r="K18" s="151"/>
      <c r="L18" s="147"/>
      <c r="M18" s="23">
        <v>18426.7</v>
      </c>
      <c r="N18" s="151"/>
      <c r="O18" s="147"/>
      <c r="P18" s="23">
        <v>838558.217</v>
      </c>
      <c r="Q18" s="151"/>
      <c r="R18" s="147"/>
      <c r="S18" s="23">
        <v>127022</v>
      </c>
      <c r="T18" s="151"/>
      <c r="U18" s="147"/>
      <c r="V18" s="23">
        <v>7325.4</v>
      </c>
      <c r="W18" s="89">
        <v>5000</v>
      </c>
      <c r="X18" s="151"/>
      <c r="Y18" s="147"/>
      <c r="Z18" s="23">
        <v>35795.58</v>
      </c>
      <c r="AA18" s="89">
        <v>6000</v>
      </c>
      <c r="AB18" s="151"/>
      <c r="AC18" s="147"/>
      <c r="AD18" s="23">
        <v>131497</v>
      </c>
      <c r="AE18" s="89">
        <v>18853.254</v>
      </c>
      <c r="AF18" s="151"/>
      <c r="AG18" s="168"/>
    </row>
    <row r="19" spans="1:33" ht="31.5" customHeight="1">
      <c r="A19" s="58">
        <v>1.3</v>
      </c>
      <c r="B19" s="146" t="s">
        <v>57</v>
      </c>
      <c r="C19" s="13" t="s">
        <v>17</v>
      </c>
      <c r="D19" s="23">
        <f>+D17</f>
        <v>732947.554</v>
      </c>
      <c r="E19" s="150">
        <f>+IF(D19="","",D19/D20)</f>
        <v>1.6270440056880466</v>
      </c>
      <c r="F19" s="147" t="str">
        <f>+IF(E19&gt;=1,"CUMPLE","NO CUMPLE")</f>
        <v>CUMPLE</v>
      </c>
      <c r="G19" s="23">
        <f>+G17</f>
        <v>177897.307</v>
      </c>
      <c r="H19" s="150">
        <f>+IF(G19="","",G19/G20)</f>
        <v>9363.016157894737</v>
      </c>
      <c r="I19" s="147" t="str">
        <f>+IF(H19&gt;=1,"CUMPLE","NO CUMPLE")</f>
        <v>CUMPLE</v>
      </c>
      <c r="J19" s="23">
        <f>+J17</f>
        <v>297652.4</v>
      </c>
      <c r="K19" s="150">
        <f>+IF(J19="","",J19/J20)</f>
        <v>42.91227311390799</v>
      </c>
      <c r="L19" s="147" t="str">
        <f>+IF(K19&gt;=1,"CUMPLE","NO CUMPLE")</f>
        <v>CUMPLE</v>
      </c>
      <c r="M19" s="23">
        <f>+M17</f>
        <v>124679.881</v>
      </c>
      <c r="N19" s="150">
        <f>+IF(M19="","",M19/M20)</f>
        <v>6.766262054518714</v>
      </c>
      <c r="O19" s="147" t="str">
        <f>+IF(N19&gt;=1,"CUMPLE","NO CUMPLE")</f>
        <v>CUMPLE</v>
      </c>
      <c r="P19" s="23">
        <f>+P17</f>
        <v>1308100.046</v>
      </c>
      <c r="Q19" s="150">
        <f>+IF(P19="","",P19/P20)</f>
        <v>1.5599394525997474</v>
      </c>
      <c r="R19" s="147" t="str">
        <f>+IF(Q19&gt;=1,"CUMPLE","NO CUMPLE")</f>
        <v>CUMPLE</v>
      </c>
      <c r="S19" s="23">
        <f>+S17</f>
        <v>240649</v>
      </c>
      <c r="T19" s="150">
        <f>+IF(S19="","",S19/S20)</f>
        <v>1.8945458267071846</v>
      </c>
      <c r="U19" s="147" t="str">
        <f>+IF(T19&gt;=$A19,"CUMPLE","NO CUMPLE")</f>
        <v>CUMPLE</v>
      </c>
      <c r="V19" s="23">
        <f>+V17</f>
        <v>100396.8</v>
      </c>
      <c r="W19" s="89">
        <f>+W17</f>
        <v>139968</v>
      </c>
      <c r="X19" s="138">
        <f>+IF(V19="","",(((V19*V13)+(W19*W13))/((V20*V13)+(W20*W13))))</f>
        <v>19.501582098755414</v>
      </c>
      <c r="Y19" s="147" t="str">
        <f>+IF(X19&gt;=$A19,"CUMPLE","NO CUMPLE")</f>
        <v>CUMPLE</v>
      </c>
      <c r="Z19" s="23">
        <f>+Z17</f>
        <v>201967.463</v>
      </c>
      <c r="AA19" s="89">
        <f>+AA17</f>
        <v>98255.8</v>
      </c>
      <c r="AB19" s="138">
        <f>+IF(Z19="","",(((Z19*Z13)+(AA19*AA13))/((Z20*Z13)+(AA20*AA13))))</f>
        <v>7.798786465093205</v>
      </c>
      <c r="AC19" s="147" t="str">
        <f>+IF(AB19&gt;=$A19,"CUMPLE","NO CUMPLE")</f>
        <v>CUMPLE</v>
      </c>
      <c r="AD19" s="23">
        <f>+AD17</f>
        <v>64048</v>
      </c>
      <c r="AE19" s="89">
        <f>+AE17</f>
        <v>94953.227</v>
      </c>
      <c r="AF19" s="138">
        <f>+IF(AD19="","",(((AD19*AD13)+(AE19*AE13))/((AD20*AD13)+(AE20*AE13))))</f>
        <v>1.8553317481878158</v>
      </c>
      <c r="AG19" s="168" t="str">
        <f>+IF(AF19&gt;=$A19,"CUMPLE","NO CUMPLE")</f>
        <v>CUMPLE</v>
      </c>
    </row>
    <row r="20" spans="2:33" ht="31.5" customHeight="1" thickBot="1">
      <c r="B20" s="135"/>
      <c r="C20" s="14" t="s">
        <v>18</v>
      </c>
      <c r="D20" s="23">
        <f>+D18</f>
        <v>450478.015</v>
      </c>
      <c r="E20" s="150"/>
      <c r="F20" s="147"/>
      <c r="G20" s="23">
        <f>+G18</f>
        <v>19</v>
      </c>
      <c r="H20" s="150"/>
      <c r="I20" s="147"/>
      <c r="J20" s="23">
        <f>+J18</f>
        <v>6936.3</v>
      </c>
      <c r="K20" s="150"/>
      <c r="L20" s="147"/>
      <c r="M20" s="23">
        <f>+M18</f>
        <v>18426.7</v>
      </c>
      <c r="N20" s="150"/>
      <c r="O20" s="147"/>
      <c r="P20" s="23">
        <f>+P18</f>
        <v>838558.217</v>
      </c>
      <c r="Q20" s="150"/>
      <c r="R20" s="147"/>
      <c r="S20" s="23">
        <f>+S18</f>
        <v>127022</v>
      </c>
      <c r="T20" s="150"/>
      <c r="U20" s="147"/>
      <c r="V20" s="23">
        <f>+V18</f>
        <v>7325.4</v>
      </c>
      <c r="W20" s="89">
        <f>+W18</f>
        <v>5000</v>
      </c>
      <c r="X20" s="138"/>
      <c r="Y20" s="147"/>
      <c r="Z20" s="23">
        <f>+Z18</f>
        <v>35795.58</v>
      </c>
      <c r="AA20" s="89">
        <f>+AA18</f>
        <v>6000</v>
      </c>
      <c r="AB20" s="138"/>
      <c r="AC20" s="147"/>
      <c r="AD20" s="23">
        <f>+AD18</f>
        <v>131497</v>
      </c>
      <c r="AE20" s="89">
        <f>+AE18</f>
        <v>18853.254</v>
      </c>
      <c r="AF20" s="138"/>
      <c r="AG20" s="168"/>
    </row>
    <row r="21" spans="1:33" ht="31.5" customHeight="1">
      <c r="A21" s="58">
        <v>1.5</v>
      </c>
      <c r="B21" s="149" t="s">
        <v>14</v>
      </c>
      <c r="C21" s="15" t="s">
        <v>19</v>
      </c>
      <c r="D21" s="23">
        <f>+D$27/1000</f>
        <v>100000</v>
      </c>
      <c r="E21" s="150">
        <f>+IF(D21="","",D21/D22)</f>
        <v>0.3642490106040719</v>
      </c>
      <c r="F21" s="147" t="str">
        <f>+IF(E21&lt;=$A21,"CUMPLE","NO CUMPLE")</f>
        <v>CUMPLE</v>
      </c>
      <c r="G21" s="23">
        <f>+G$27/1000</f>
        <v>100000</v>
      </c>
      <c r="H21" s="150">
        <f>+IF(G21="","",G21/G22)</f>
        <v>0.39958033036894147</v>
      </c>
      <c r="I21" s="147" t="str">
        <f>+IF(H21&lt;=$A21,"CUMPLE","NO CUMPLE")</f>
        <v>CUMPLE</v>
      </c>
      <c r="J21" s="23">
        <f>+J$27/1000</f>
        <v>100000</v>
      </c>
      <c r="K21" s="150">
        <f>+IF(J21="","",J21/J22)</f>
        <v>0.22673893743558488</v>
      </c>
      <c r="L21" s="147" t="str">
        <f>+IF(K21&lt;=$A21,"CUMPLE","NO CUMPLE")</f>
        <v>CUMPLE</v>
      </c>
      <c r="M21" s="23">
        <f>+M$27/1000</f>
        <v>100000</v>
      </c>
      <c r="N21" s="150">
        <f>+IF(M21="","",M21/M22)</f>
        <v>0.48728112927518663</v>
      </c>
      <c r="O21" s="147" t="str">
        <f>+IF(N21&lt;=$A21,"CUMPLE","NO CUMPLE")</f>
        <v>CUMPLE</v>
      </c>
      <c r="P21" s="23">
        <f>+P$27/1000</f>
        <v>100000</v>
      </c>
      <c r="Q21" s="150">
        <f>+IF(P21="","",P21/P22)</f>
        <v>0.23712873243440755</v>
      </c>
      <c r="R21" s="147" t="str">
        <f>+IF(Q21&lt;=$A21,"CUMPLE","NO CUMPLE")</f>
        <v>CUMPLE</v>
      </c>
      <c r="S21" s="23">
        <f>+S$27/1000</f>
        <v>100000</v>
      </c>
      <c r="T21" s="150">
        <f>+IF(S21="","",S21/S22)</f>
        <v>0.6556130309646034</v>
      </c>
      <c r="U21" s="147" t="str">
        <f>+IF(T21&lt;=$A21,"CUMPLE","NO CUMPLE")</f>
        <v>CUMPLE</v>
      </c>
      <c r="V21" s="23">
        <f>+V$27/1000</f>
        <v>100000</v>
      </c>
      <c r="W21" s="89">
        <f>+V27/1000</f>
        <v>100000</v>
      </c>
      <c r="X21" s="138">
        <f>+IF(V21="","",(((V21*V13)+(W21*W13))/((V22*V13)+(W22*W13))))</f>
        <v>0.544047884918639</v>
      </c>
      <c r="Y21" s="147" t="str">
        <f>+IF(X21&lt;=$A21,"CUMPLE","NO CUMPLE")</f>
        <v>CUMPLE</v>
      </c>
      <c r="Z21" s="23">
        <f>+Z$27/1000</f>
        <v>100000</v>
      </c>
      <c r="AA21" s="89">
        <f>+Z27/1000</f>
        <v>100000</v>
      </c>
      <c r="AB21" s="138">
        <f>+IF(Z21="","",(((Z21*Z13)+(AA21*AA13))/((Z22*Z13)+(AA22*AA13))))</f>
        <v>0.33727795187990706</v>
      </c>
      <c r="AC21" s="147" t="str">
        <f>+IF(AB21&lt;=$A21,"CUMPLE","NO CUMPLE")</f>
        <v>CUMPLE</v>
      </c>
      <c r="AD21" s="23">
        <f>+AD$27/1000</f>
        <v>100000</v>
      </c>
      <c r="AE21" s="89">
        <f>+AD27/1000</f>
        <v>100000</v>
      </c>
      <c r="AF21" s="138">
        <f>+IF(AD21="","",(((AD21*AD13)+(AE21*AE13))/((AD22*AD13)+(AE22*AE13))))</f>
        <v>0.6409606513134477</v>
      </c>
      <c r="AG21" s="168" t="str">
        <f>+IF(AF21&lt;=$A21,"CUMPLE","NO CUMPLE")</f>
        <v>CUMPLE</v>
      </c>
    </row>
    <row r="22" spans="2:33" ht="31.5" customHeight="1" thickBot="1">
      <c r="B22" s="135"/>
      <c r="C22" s="14" t="s">
        <v>20</v>
      </c>
      <c r="D22" s="35">
        <f>+D16-D15</f>
        <v>274537.46499999997</v>
      </c>
      <c r="E22" s="152"/>
      <c r="F22" s="148"/>
      <c r="G22" s="35">
        <f>+G16-G15</f>
        <v>250262.569</v>
      </c>
      <c r="H22" s="152"/>
      <c r="I22" s="148"/>
      <c r="J22" s="35">
        <f>+J16-J15</f>
        <v>441035.85000000003</v>
      </c>
      <c r="K22" s="152"/>
      <c r="L22" s="148"/>
      <c r="M22" s="35">
        <f>+M16-M15</f>
        <v>205220.34199999998</v>
      </c>
      <c r="N22" s="152"/>
      <c r="O22" s="148"/>
      <c r="P22" s="35">
        <f>+P16-P15</f>
        <v>421711.865</v>
      </c>
      <c r="Q22" s="152"/>
      <c r="R22" s="148"/>
      <c r="S22" s="35">
        <f>+S16-S15</f>
        <v>152529</v>
      </c>
      <c r="T22" s="152"/>
      <c r="U22" s="148"/>
      <c r="V22" s="35">
        <f>+V16-V15</f>
        <v>198496.7</v>
      </c>
      <c r="W22" s="57">
        <f>+W16-W15</f>
        <v>169118</v>
      </c>
      <c r="X22" s="154"/>
      <c r="Y22" s="148"/>
      <c r="Z22" s="35">
        <f>+Z16-Z15</f>
        <v>361346.81</v>
      </c>
      <c r="AA22" s="57">
        <f>+AA16-AA15</f>
        <v>253254.4</v>
      </c>
      <c r="AB22" s="154"/>
      <c r="AC22" s="148"/>
      <c r="AD22" s="35">
        <f>+AD16-AD15</f>
        <v>71886</v>
      </c>
      <c r="AE22" s="57">
        <f>+AE16-AE15</f>
        <v>184059.09000000003</v>
      </c>
      <c r="AF22" s="154"/>
      <c r="AG22" s="169"/>
    </row>
    <row r="23" spans="2:33" ht="27" customHeight="1" thickBot="1">
      <c r="B23" s="71" t="s">
        <v>4</v>
      </c>
      <c r="C23" s="71"/>
      <c r="D23" s="126" t="str">
        <f>IF(F32=TRUE,"CUMPLE","NO CUMPLE")</f>
        <v>CUMPLE</v>
      </c>
      <c r="E23" s="127"/>
      <c r="F23" s="128"/>
      <c r="G23" s="126" t="str">
        <f>IF(I32=TRUE,"CUMPLE","NO CUMPLE")</f>
        <v>CUMPLE</v>
      </c>
      <c r="H23" s="127"/>
      <c r="I23" s="128"/>
      <c r="J23" s="126" t="str">
        <f>IF(L32=TRUE,"CUMPLE","NO CUMPLE")</f>
        <v>CUMPLE</v>
      </c>
      <c r="K23" s="127"/>
      <c r="L23" s="128"/>
      <c r="M23" s="126" t="str">
        <f>IF(O32=TRUE,"CUMPLE","NO CUMPLE")</f>
        <v>CUMPLE</v>
      </c>
      <c r="N23" s="127"/>
      <c r="O23" s="128"/>
      <c r="P23" s="126" t="str">
        <f>IF(R32=TRUE,"CUMPLE","NO CUMPLE")</f>
        <v>CUMPLE</v>
      </c>
      <c r="Q23" s="127"/>
      <c r="R23" s="128"/>
      <c r="S23" s="126" t="str">
        <f>IF(U32=TRUE,"CUMPLE","NO CUMPLE")</f>
        <v>CUMPLE</v>
      </c>
      <c r="T23" s="127"/>
      <c r="U23" s="128"/>
      <c r="V23" s="126" t="str">
        <f>IF(Y32=TRUE,"CUMPLE","NO CUMPLE")</f>
        <v>CUMPLE</v>
      </c>
      <c r="W23" s="166"/>
      <c r="X23" s="127"/>
      <c r="Y23" s="128"/>
      <c r="Z23" s="126" t="str">
        <f>IF(AC32=TRUE,"CUMPLE","NO CUMPLE")</f>
        <v>CUMPLE</v>
      </c>
      <c r="AA23" s="166"/>
      <c r="AB23" s="127"/>
      <c r="AC23" s="128"/>
      <c r="AD23" s="126" t="str">
        <f>IF(AG32=TRUE,"CUMPLE","NO CUMPLE")</f>
        <v>CUMPLE</v>
      </c>
      <c r="AE23" s="166"/>
      <c r="AF23" s="127"/>
      <c r="AG23" s="128"/>
    </row>
    <row r="25" spans="2:3" ht="12.75">
      <c r="B25" s="72" t="s">
        <v>21</v>
      </c>
      <c r="C25" s="73">
        <v>100000000</v>
      </c>
    </row>
    <row r="27" spans="4:33" ht="12.75" hidden="1">
      <c r="D27" s="47">
        <f>+C25</f>
        <v>100000000</v>
      </c>
      <c r="F27" s="19"/>
      <c r="G27" s="47">
        <f>+D27</f>
        <v>100000000</v>
      </c>
      <c r="H27" s="19"/>
      <c r="I27" s="19"/>
      <c r="J27" s="47">
        <f>+G27</f>
        <v>100000000</v>
      </c>
      <c r="K27" s="19"/>
      <c r="L27" s="19"/>
      <c r="M27" s="47">
        <f>+J27</f>
        <v>100000000</v>
      </c>
      <c r="N27" s="19"/>
      <c r="O27" s="19"/>
      <c r="P27" s="47">
        <f>+M27</f>
        <v>100000000</v>
      </c>
      <c r="Q27" s="19"/>
      <c r="R27" s="19"/>
      <c r="S27" s="47">
        <f>+P27</f>
        <v>100000000</v>
      </c>
      <c r="T27" s="19"/>
      <c r="U27" s="19"/>
      <c r="V27" s="47">
        <f>+S27</f>
        <v>100000000</v>
      </c>
      <c r="W27" s="47">
        <f>+V27</f>
        <v>100000000</v>
      </c>
      <c r="Y27" s="47"/>
      <c r="Z27" s="47">
        <f>+W27</f>
        <v>100000000</v>
      </c>
      <c r="AA27" s="47">
        <f>+Z27</f>
        <v>100000000</v>
      </c>
      <c r="AC27" s="47"/>
      <c r="AD27" s="47">
        <f>+AA27</f>
        <v>100000000</v>
      </c>
      <c r="AE27" s="47">
        <f>+AD27</f>
        <v>100000000</v>
      </c>
      <c r="AG27" s="47"/>
    </row>
    <row r="28" spans="2:33" ht="12.75" hidden="1">
      <c r="B28" s="66">
        <f>+A17</f>
        <v>0.3</v>
      </c>
      <c r="D28" s="19">
        <f>+D27*$B$28</f>
        <v>30000000</v>
      </c>
      <c r="F28" s="19"/>
      <c r="G28" s="19">
        <f>+G27*$B$28</f>
        <v>30000000</v>
      </c>
      <c r="H28" s="19"/>
      <c r="I28" s="19"/>
      <c r="J28" s="19">
        <f>+J27*$B$28</f>
        <v>30000000</v>
      </c>
      <c r="K28" s="19"/>
      <c r="L28" s="19"/>
      <c r="M28" s="19">
        <f>+M27*$B$28</f>
        <v>30000000</v>
      </c>
      <c r="N28" s="19"/>
      <c r="O28" s="19"/>
      <c r="P28" s="19">
        <f>+P27*$B$28</f>
        <v>30000000</v>
      </c>
      <c r="Q28" s="19"/>
      <c r="R28" s="19"/>
      <c r="S28" s="19">
        <f>+S27*$B$28</f>
        <v>30000000</v>
      </c>
      <c r="T28" s="19"/>
      <c r="U28" s="19"/>
      <c r="V28" s="19">
        <f>+V27*$B$28</f>
        <v>30000000</v>
      </c>
      <c r="W28" s="19">
        <f>+W27*$B$28</f>
        <v>30000000</v>
      </c>
      <c r="Y28" s="19"/>
      <c r="Z28" s="19">
        <f>+Z27*$B$28</f>
        <v>30000000</v>
      </c>
      <c r="AA28" s="19">
        <f>+AA27*$B$28</f>
        <v>30000000</v>
      </c>
      <c r="AC28" s="19"/>
      <c r="AD28" s="19">
        <f>+AD27*$B$28</f>
        <v>30000000</v>
      </c>
      <c r="AE28" s="19">
        <f>+AE27*$B$28</f>
        <v>30000000</v>
      </c>
      <c r="AG28" s="19"/>
    </row>
    <row r="29" spans="2:33" ht="12.75" hidden="1">
      <c r="B29" s="58" t="s">
        <v>22</v>
      </c>
      <c r="D29" s="19">
        <f>+D28/1000</f>
        <v>30000</v>
      </c>
      <c r="F29" s="2"/>
      <c r="G29" s="19">
        <f>+G28/1000</f>
        <v>30000</v>
      </c>
      <c r="H29" s="2"/>
      <c r="I29" s="2"/>
      <c r="J29" s="19">
        <f>+J28/1000</f>
        <v>30000</v>
      </c>
      <c r="K29" s="2"/>
      <c r="L29" s="2"/>
      <c r="M29" s="19">
        <f>+M28/1000</f>
        <v>30000</v>
      </c>
      <c r="N29" s="2"/>
      <c r="O29" s="2"/>
      <c r="P29" s="19">
        <f>+P28/1000</f>
        <v>30000</v>
      </c>
      <c r="Q29" s="2"/>
      <c r="R29" s="2"/>
      <c r="S29" s="19">
        <f>+S28/1000</f>
        <v>30000</v>
      </c>
      <c r="T29" s="2"/>
      <c r="U29" s="2"/>
      <c r="V29" s="19">
        <f>+V28/1000</f>
        <v>30000</v>
      </c>
      <c r="W29" s="19">
        <f>+W28/1000</f>
        <v>30000</v>
      </c>
      <c r="Y29" s="19"/>
      <c r="Z29" s="19">
        <f>+Z28/1000</f>
        <v>30000</v>
      </c>
      <c r="AA29" s="19">
        <f>+AA28/1000</f>
        <v>30000</v>
      </c>
      <c r="AC29" s="19"/>
      <c r="AD29" s="19">
        <f>+AD28/1000</f>
        <v>30000</v>
      </c>
      <c r="AE29" s="19">
        <f>+AE28/1000</f>
        <v>30000</v>
      </c>
      <c r="AG29" s="19"/>
    </row>
    <row r="30" ht="12.75" hidden="1"/>
    <row r="31" ht="12.75" hidden="1"/>
    <row r="32" spans="6:33" ht="12.75" hidden="1">
      <c r="F32" t="b">
        <f>AND(F15="CUMPLE",F17="CUMPLE",F19="CUMPLE",F21="CUMPLE")</f>
        <v>1</v>
      </c>
      <c r="I32" t="b">
        <f>AND(I15="CUMPLE",I17="CUMPLE",I19="CUMPLE",I21="CUMPLE")</f>
        <v>1</v>
      </c>
      <c r="L32" t="b">
        <f>AND(L15="CUMPLE",L17="CUMPLE",L19="CUMPLE",L21="CUMPLE")</f>
        <v>1</v>
      </c>
      <c r="O32" t="b">
        <f>AND(O15="CUMPLE",O17="CUMPLE",O19="CUMPLE",O21="CUMPLE")</f>
        <v>1</v>
      </c>
      <c r="R32" t="b">
        <f>AND(R15="CUMPLE",R17="CUMPLE",R19="CUMPLE",R21="CUMPLE")</f>
        <v>1</v>
      </c>
      <c r="U32" t="b">
        <f>AND(U15="CUMPLE",U17="CUMPLE",U19="CUMPLE",U21="CUMPLE")</f>
        <v>1</v>
      </c>
      <c r="Y32" t="b">
        <f>AND(Y15="CUMPLE",Y17="CUMPLE",Y19="CUMPLE",Y21="CUMPLE")</f>
        <v>1</v>
      </c>
      <c r="AC32" t="b">
        <f>AND(AC15="CUMPLE",AC17="CUMPLE",AC19="CUMPLE",AC21="CUMPLE")</f>
        <v>1</v>
      </c>
      <c r="AG32" t="b">
        <f>AND(AG15="CUMPLE",AG17="CUMPLE",AG19="CUMPLE",AG21="CUMPLE")</f>
        <v>1</v>
      </c>
    </row>
    <row r="33" ht="12.75" hidden="1"/>
    <row r="36" ht="12.75">
      <c r="G36" s="96"/>
    </row>
    <row r="40" spans="3:23" ht="12.75">
      <c r="C40" s="27"/>
      <c r="D40" s="19"/>
      <c r="V40" s="19"/>
      <c r="W40" s="19"/>
    </row>
  </sheetData>
  <sheetProtection/>
  <mergeCells count="115">
    <mergeCell ref="S9:U9"/>
    <mergeCell ref="G9:I9"/>
    <mergeCell ref="J9:L9"/>
    <mergeCell ref="M9:O9"/>
    <mergeCell ref="P9:R9"/>
    <mergeCell ref="AG19:AG20"/>
    <mergeCell ref="AF21:AF22"/>
    <mergeCell ref="AG21:AG22"/>
    <mergeCell ref="AD23:AG23"/>
    <mergeCell ref="AB21:AB22"/>
    <mergeCell ref="AC21:AC22"/>
    <mergeCell ref="Z23:AC23"/>
    <mergeCell ref="AD9:AG9"/>
    <mergeCell ref="AD10:AG10"/>
    <mergeCell ref="AF15:AF16"/>
    <mergeCell ref="AG15:AG16"/>
    <mergeCell ref="AF17:AF18"/>
    <mergeCell ref="AG17:AG18"/>
    <mergeCell ref="AF19:AF20"/>
    <mergeCell ref="AB17:AB18"/>
    <mergeCell ref="AC17:AC18"/>
    <mergeCell ref="AB19:AB20"/>
    <mergeCell ref="AC19:AC20"/>
    <mergeCell ref="Z9:AC9"/>
    <mergeCell ref="Z10:AC10"/>
    <mergeCell ref="AB15:AB16"/>
    <mergeCell ref="AC15:AC16"/>
    <mergeCell ref="S23:U23"/>
    <mergeCell ref="V10:Y10"/>
    <mergeCell ref="Q21:Q22"/>
    <mergeCell ref="R21:R22"/>
    <mergeCell ref="P23:R23"/>
    <mergeCell ref="S10:U12"/>
    <mergeCell ref="S13:U13"/>
    <mergeCell ref="T15:T16"/>
    <mergeCell ref="V23:Y23"/>
    <mergeCell ref="Y19:Y20"/>
    <mergeCell ref="Q19:Q20"/>
    <mergeCell ref="U15:U16"/>
    <mergeCell ref="T17:T18"/>
    <mergeCell ref="U17:U18"/>
    <mergeCell ref="T19:T20"/>
    <mergeCell ref="R19:R20"/>
    <mergeCell ref="U19:U20"/>
    <mergeCell ref="J23:L23"/>
    <mergeCell ref="M10:O12"/>
    <mergeCell ref="M13:O13"/>
    <mergeCell ref="N15:N16"/>
    <mergeCell ref="O15:O16"/>
    <mergeCell ref="N17:N18"/>
    <mergeCell ref="O17:O18"/>
    <mergeCell ref="N19:N20"/>
    <mergeCell ref="O19:O20"/>
    <mergeCell ref="M23:O23"/>
    <mergeCell ref="D9:F9"/>
    <mergeCell ref="G23:I23"/>
    <mergeCell ref="J10:L12"/>
    <mergeCell ref="J13:L13"/>
    <mergeCell ref="K15:K16"/>
    <mergeCell ref="L15:L16"/>
    <mergeCell ref="K17:K18"/>
    <mergeCell ref="L17:L18"/>
    <mergeCell ref="K19:K20"/>
    <mergeCell ref="L19:L20"/>
    <mergeCell ref="X19:X20"/>
    <mergeCell ref="B5:C5"/>
    <mergeCell ref="G10:I12"/>
    <mergeCell ref="G13:I13"/>
    <mergeCell ref="H15:H16"/>
    <mergeCell ref="I15:I16"/>
    <mergeCell ref="B6:C6"/>
    <mergeCell ref="F15:F16"/>
    <mergeCell ref="E6:Y6"/>
    <mergeCell ref="D10:F12"/>
    <mergeCell ref="Y15:Y16"/>
    <mergeCell ref="H17:H18"/>
    <mergeCell ref="I17:I18"/>
    <mergeCell ref="X17:X18"/>
    <mergeCell ref="Y17:Y18"/>
    <mergeCell ref="F19:F20"/>
    <mergeCell ref="H19:H20"/>
    <mergeCell ref="I19:I20"/>
    <mergeCell ref="H21:H22"/>
    <mergeCell ref="I21:I22"/>
    <mergeCell ref="N21:N22"/>
    <mergeCell ref="X21:X22"/>
    <mergeCell ref="Y21:Y22"/>
    <mergeCell ref="L21:L22"/>
    <mergeCell ref="T21:T22"/>
    <mergeCell ref="U21:U22"/>
    <mergeCell ref="X15:X16"/>
    <mergeCell ref="Q15:Q16"/>
    <mergeCell ref="R15:R16"/>
    <mergeCell ref="Q17:Q18"/>
    <mergeCell ref="R17:R18"/>
    <mergeCell ref="F21:F22"/>
    <mergeCell ref="O21:O22"/>
    <mergeCell ref="D13:F13"/>
    <mergeCell ref="B9:C9"/>
    <mergeCell ref="B21:B22"/>
    <mergeCell ref="E19:E20"/>
    <mergeCell ref="E17:E18"/>
    <mergeCell ref="E21:E22"/>
    <mergeCell ref="F17:F18"/>
    <mergeCell ref="K21:K22"/>
    <mergeCell ref="V9:Y9"/>
    <mergeCell ref="D23:F23"/>
    <mergeCell ref="B10:C12"/>
    <mergeCell ref="B13:C13"/>
    <mergeCell ref="B15:B16"/>
    <mergeCell ref="B17:B18"/>
    <mergeCell ref="E15:E16"/>
    <mergeCell ref="P10:R12"/>
    <mergeCell ref="P13:R13"/>
    <mergeCell ref="B19:B20"/>
  </mergeCells>
  <hyperlinks>
    <hyperlink ref="A1" location="Hoja1!A1" display="VOLVER AL MENU"/>
  </hyperlinks>
  <printOptions/>
  <pageMargins left="0.65" right="0.48" top="1.38" bottom="1" header="0" footer="0"/>
  <pageSetup fitToWidth="3" horizontalDpi="600" verticalDpi="600" orientation="landscape" scale="56" r:id="rId1"/>
  <colBreaks count="3" manualBreakCount="3">
    <brk id="12" min="9" max="22" man="1"/>
    <brk id="21" min="9" max="22" man="1"/>
    <brk id="29" min="9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170" t="s">
        <v>39</v>
      </c>
      <c r="B2" s="171"/>
      <c r="C2" s="171"/>
    </row>
    <row r="3" spans="11:16" ht="12.75" customHeight="1">
      <c r="K3" s="173" t="e">
        <f>+'EVALUACIÓN FINANCIERA'!#REF!</f>
        <v>#REF!</v>
      </c>
      <c r="L3" s="174"/>
      <c r="M3" s="174"/>
      <c r="N3" s="174"/>
      <c r="O3" s="174"/>
      <c r="P3" s="174"/>
    </row>
    <row r="4" spans="1:16" s="20" customFormat="1" ht="30" customHeight="1">
      <c r="A4" s="33" t="s">
        <v>35</v>
      </c>
      <c r="B4" s="172" t="str">
        <f>+'EVALUACIÓN FINANCIERA'!D10</f>
        <v>PROYECTAR INGENIERIA LTDA.</v>
      </c>
      <c r="C4" s="172"/>
      <c r="D4" s="172"/>
      <c r="E4" s="172" t="e">
        <f>+'EVALUACIÓN FINANCIERA'!#REF!</f>
        <v>#REF!</v>
      </c>
      <c r="F4" s="172"/>
      <c r="G4" s="172"/>
      <c r="H4" s="172" t="str">
        <f>+'EVALUACIÓN FINANCIERA'!V10</f>
        <v>CONSORCIO INGENIEROS ASOCIADOS 2008</v>
      </c>
      <c r="I4" s="172"/>
      <c r="J4" s="172"/>
      <c r="K4" s="172"/>
      <c r="L4" s="172"/>
      <c r="M4" s="172"/>
      <c r="N4" s="172" t="e">
        <f>+'EVALUACIÓN FINANCIERA'!#REF!</f>
        <v>#REF!</v>
      </c>
      <c r="O4" s="172"/>
      <c r="P4" s="172"/>
    </row>
    <row r="5" spans="2:16" s="1" customFormat="1" ht="12.75">
      <c r="B5" s="21" t="s">
        <v>24</v>
      </c>
      <c r="C5" s="21" t="s">
        <v>25</v>
      </c>
      <c r="D5" s="21" t="s">
        <v>26</v>
      </c>
      <c r="E5" s="21" t="s">
        <v>24</v>
      </c>
      <c r="F5" s="21" t="s">
        <v>25</v>
      </c>
      <c r="G5" s="21" t="s">
        <v>26</v>
      </c>
      <c r="H5" s="21" t="s">
        <v>24</v>
      </c>
      <c r="I5" s="21" t="s">
        <v>25</v>
      </c>
      <c r="J5" s="21" t="s">
        <v>26</v>
      </c>
      <c r="K5" s="21" t="s">
        <v>24</v>
      </c>
      <c r="L5" s="21" t="s">
        <v>25</v>
      </c>
      <c r="M5" s="21" t="s">
        <v>26</v>
      </c>
      <c r="N5" s="21" t="s">
        <v>24</v>
      </c>
      <c r="O5" s="21" t="s">
        <v>25</v>
      </c>
      <c r="P5" s="21" t="s">
        <v>26</v>
      </c>
    </row>
    <row r="6" ht="12.75">
      <c r="B6" s="24"/>
    </row>
    <row r="7" spans="1:16" ht="12.75">
      <c r="A7" s="22" t="s">
        <v>28</v>
      </c>
      <c r="B7" s="29"/>
      <c r="C7" s="29"/>
      <c r="D7" s="29">
        <f>+B7-C7</f>
        <v>0</v>
      </c>
      <c r="E7" s="29"/>
      <c r="F7" s="29"/>
      <c r="G7" s="29">
        <f>+E7-F7</f>
        <v>0</v>
      </c>
      <c r="H7" s="29"/>
      <c r="I7" s="29"/>
      <c r="J7" s="29">
        <f>+H7-I7</f>
        <v>0</v>
      </c>
      <c r="K7" s="29"/>
      <c r="L7" s="29"/>
      <c r="M7" s="29">
        <f>+K7-L7</f>
        <v>0</v>
      </c>
      <c r="N7" s="29"/>
      <c r="O7" s="29"/>
      <c r="P7" s="29">
        <f>+N7-O7</f>
        <v>0</v>
      </c>
    </row>
    <row r="8" spans="2:16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22" t="s">
        <v>27</v>
      </c>
      <c r="B9" s="29"/>
      <c r="C9" s="29"/>
      <c r="D9" s="29">
        <f>+B9-C9</f>
        <v>0</v>
      </c>
      <c r="E9" s="29"/>
      <c r="F9" s="29"/>
      <c r="G9" s="29">
        <f>+E9-F9</f>
        <v>0</v>
      </c>
      <c r="H9" s="29"/>
      <c r="I9" s="29"/>
      <c r="J9" s="29">
        <f>+H9-I9</f>
        <v>0</v>
      </c>
      <c r="K9" s="29"/>
      <c r="L9" s="29"/>
      <c r="M9" s="29">
        <f>+K9-L9</f>
        <v>0</v>
      </c>
      <c r="N9" s="29"/>
      <c r="O9" s="29"/>
      <c r="P9" s="29">
        <f>+N9-O9</f>
        <v>0</v>
      </c>
    </row>
    <row r="10" spans="2:16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2" t="s">
        <v>29</v>
      </c>
      <c r="B11" s="30">
        <f aca="true" t="shared" si="0" ref="B11:J11">+B7-B9</f>
        <v>0</v>
      </c>
      <c r="C11" s="30">
        <f t="shared" si="0"/>
        <v>0</v>
      </c>
      <c r="D11" s="30">
        <f t="shared" si="0"/>
        <v>0</v>
      </c>
      <c r="E11" s="30">
        <f t="shared" si="0"/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aca="true" t="shared" si="1" ref="K11:P11">+K7-K9</f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0">
        <f t="shared" si="1"/>
        <v>0</v>
      </c>
      <c r="P11" s="30">
        <f t="shared" si="1"/>
        <v>0</v>
      </c>
    </row>
    <row r="12" spans="2:16" ht="12.7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2" t="s">
        <v>30</v>
      </c>
      <c r="B13" s="29"/>
      <c r="C13" s="29"/>
      <c r="D13" s="29">
        <f>+B13-C13</f>
        <v>0</v>
      </c>
      <c r="E13" s="29"/>
      <c r="F13" s="29"/>
      <c r="G13" s="29">
        <f>+E13-F13</f>
        <v>0</v>
      </c>
      <c r="H13" s="29"/>
      <c r="I13" s="29"/>
      <c r="J13" s="29">
        <f>+H13-I13</f>
        <v>0</v>
      </c>
      <c r="K13" s="29"/>
      <c r="L13" s="29"/>
      <c r="M13" s="29">
        <f>+K13-L13</f>
        <v>0</v>
      </c>
      <c r="N13" s="29"/>
      <c r="O13" s="29"/>
      <c r="P13" s="29">
        <f>+N13-O13</f>
        <v>0</v>
      </c>
    </row>
    <row r="14" spans="2:16" ht="12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2" t="s">
        <v>31</v>
      </c>
      <c r="B15" s="29"/>
      <c r="C15" s="29"/>
      <c r="D15" s="29">
        <f>+B15-C15</f>
        <v>0</v>
      </c>
      <c r="E15" s="29"/>
      <c r="F15" s="29"/>
      <c r="G15" s="29">
        <f>+E15-F15</f>
        <v>0</v>
      </c>
      <c r="H15" s="29"/>
      <c r="I15" s="29"/>
      <c r="J15" s="29">
        <f>+H15-I15</f>
        <v>0</v>
      </c>
      <c r="K15" s="29"/>
      <c r="L15" s="29"/>
      <c r="M15" s="29">
        <f>+K15-L15</f>
        <v>0</v>
      </c>
      <c r="N15" s="29"/>
      <c r="O15" s="29"/>
      <c r="P15" s="29">
        <f>+N15-O15</f>
        <v>0</v>
      </c>
    </row>
    <row r="16" spans="2:16" ht="12.7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2" t="s">
        <v>32</v>
      </c>
      <c r="B17" s="29"/>
      <c r="C17" s="29"/>
      <c r="D17" s="29">
        <f>+B17-C17</f>
        <v>0</v>
      </c>
      <c r="E17" s="29"/>
      <c r="F17" s="29"/>
      <c r="G17" s="29">
        <f>+E17-F17</f>
        <v>0</v>
      </c>
      <c r="H17" s="29"/>
      <c r="I17" s="29"/>
      <c r="J17" s="29">
        <f>+H17-I17</f>
        <v>0</v>
      </c>
      <c r="K17" s="29"/>
      <c r="L17" s="29"/>
      <c r="M17" s="29">
        <f>+K17-L17</f>
        <v>0</v>
      </c>
      <c r="N17" s="29"/>
      <c r="O17" s="29"/>
      <c r="P17" s="29">
        <f>+N17-O17</f>
        <v>0</v>
      </c>
    </row>
    <row r="18" spans="2:16" ht="12.7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2" t="s">
        <v>37</v>
      </c>
      <c r="B19" s="29"/>
      <c r="C19" s="29"/>
      <c r="D19" s="29">
        <f>+B19-C19</f>
        <v>0</v>
      </c>
      <c r="E19" s="29"/>
      <c r="F19" s="29"/>
      <c r="G19" s="29">
        <f>+E19-F19</f>
        <v>0</v>
      </c>
      <c r="H19" s="29"/>
      <c r="I19" s="29"/>
      <c r="J19" s="29">
        <f>+H19-I19</f>
        <v>0</v>
      </c>
      <c r="K19" s="29"/>
      <c r="L19" s="29"/>
      <c r="M19" s="29">
        <f>+K19-L19</f>
        <v>0</v>
      </c>
      <c r="N19" s="29"/>
      <c r="O19" s="29"/>
      <c r="P19" s="29">
        <f>+N19-O19</f>
        <v>0</v>
      </c>
    </row>
    <row r="20" spans="2:16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2.75">
      <c r="A21" s="22" t="s">
        <v>33</v>
      </c>
      <c r="B21" s="29"/>
      <c r="C21" s="29"/>
      <c r="D21" s="29">
        <f>+B21-C21</f>
        <v>0</v>
      </c>
      <c r="E21" s="29"/>
      <c r="F21" s="29"/>
      <c r="G21" s="29">
        <f>+E21-F21</f>
        <v>0</v>
      </c>
      <c r="H21" s="29"/>
      <c r="I21" s="29"/>
      <c r="J21" s="29">
        <f>+H21-I21</f>
        <v>0</v>
      </c>
      <c r="K21" s="29"/>
      <c r="L21" s="29"/>
      <c r="M21" s="29">
        <f>+K21-L21</f>
        <v>0</v>
      </c>
      <c r="N21" s="29"/>
      <c r="O21" s="29"/>
      <c r="P21" s="29">
        <f>+N21-O21</f>
        <v>0</v>
      </c>
    </row>
    <row r="22" spans="2:16" ht="12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.75">
      <c r="A23" s="22" t="s">
        <v>34</v>
      </c>
      <c r="B23" s="30">
        <f aca="true" t="shared" si="2" ref="B23:J23">+B13-B15-B17-B19-B21</f>
        <v>0</v>
      </c>
      <c r="C23" s="30">
        <f t="shared" si="2"/>
        <v>0</v>
      </c>
      <c r="D23" s="31">
        <f t="shared" si="2"/>
        <v>0</v>
      </c>
      <c r="E23" s="30">
        <f t="shared" si="2"/>
        <v>0</v>
      </c>
      <c r="F23" s="30">
        <f t="shared" si="2"/>
        <v>0</v>
      </c>
      <c r="G23" s="31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aca="true" t="shared" si="3" ref="K23:P23">+K13-K15-K17-K19-K21</f>
        <v>0</v>
      </c>
      <c r="L23" s="30">
        <f t="shared" si="3"/>
        <v>0</v>
      </c>
      <c r="M23" s="30">
        <f t="shared" si="3"/>
        <v>0</v>
      </c>
      <c r="N23" s="30">
        <f t="shared" si="3"/>
        <v>0</v>
      </c>
      <c r="O23" s="30">
        <f t="shared" si="3"/>
        <v>0</v>
      </c>
      <c r="P23" s="30">
        <f t="shared" si="3"/>
        <v>0</v>
      </c>
    </row>
    <row r="27" spans="1:3" ht="12.75">
      <c r="A27" s="170" t="s">
        <v>39</v>
      </c>
      <c r="B27" s="171"/>
      <c r="C27" s="171"/>
    </row>
    <row r="29" spans="1:13" ht="12.75">
      <c r="A29" s="33" t="s">
        <v>36</v>
      </c>
      <c r="B29" s="172" t="str">
        <f>+B4</f>
        <v>PROYECTAR INGENIERIA LTDA.</v>
      </c>
      <c r="C29" s="172"/>
      <c r="D29" s="172"/>
      <c r="E29" s="172" t="e">
        <f>+E4</f>
        <v>#REF!</v>
      </c>
      <c r="F29" s="172"/>
      <c r="G29" s="172"/>
      <c r="H29" s="172" t="str">
        <f>+H4</f>
        <v>CONSORCIO INGENIEROS ASOCIADOS 2008</v>
      </c>
      <c r="I29" s="172"/>
      <c r="J29" s="172"/>
      <c r="K29" s="172">
        <f>+K4</f>
        <v>0</v>
      </c>
      <c r="L29" s="172"/>
      <c r="M29" s="172"/>
    </row>
    <row r="30" spans="1:13" ht="12.75">
      <c r="A30" s="1"/>
      <c r="B30" s="21" t="s">
        <v>24</v>
      </c>
      <c r="C30" s="21" t="s">
        <v>25</v>
      </c>
      <c r="D30" s="21" t="s">
        <v>26</v>
      </c>
      <c r="E30" s="21" t="s">
        <v>24</v>
      </c>
      <c r="F30" s="21" t="s">
        <v>25</v>
      </c>
      <c r="G30" s="21" t="s">
        <v>26</v>
      </c>
      <c r="H30" s="21" t="s">
        <v>24</v>
      </c>
      <c r="I30" s="21" t="s">
        <v>25</v>
      </c>
      <c r="J30" s="21" t="s">
        <v>26</v>
      </c>
      <c r="K30" s="21" t="s">
        <v>24</v>
      </c>
      <c r="L30" s="21" t="s">
        <v>25</v>
      </c>
      <c r="M30" s="21" t="s">
        <v>26</v>
      </c>
    </row>
    <row r="32" spans="1:13" ht="12.75">
      <c r="A32" s="22" t="s">
        <v>28</v>
      </c>
      <c r="B32" s="29">
        <v>338540</v>
      </c>
      <c r="C32" s="29">
        <v>338540</v>
      </c>
      <c r="D32" s="29">
        <f>+B32-C32</f>
        <v>0</v>
      </c>
      <c r="E32" s="29"/>
      <c r="F32" s="29">
        <v>2236097</v>
      </c>
      <c r="G32" s="29">
        <f>+E32-F32</f>
        <v>-2236097</v>
      </c>
      <c r="H32" s="29">
        <v>3913626</v>
      </c>
      <c r="I32" s="29">
        <v>3439435</v>
      </c>
      <c r="J32" s="29">
        <f>+H32-I32</f>
        <v>474191</v>
      </c>
      <c r="K32" s="29">
        <v>3913626</v>
      </c>
      <c r="L32" s="29">
        <v>3439435</v>
      </c>
      <c r="M32" s="29">
        <f>+K32-L32</f>
        <v>474191</v>
      </c>
    </row>
    <row r="33" spans="2:13" ht="12.7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2" t="s">
        <v>27</v>
      </c>
      <c r="B34" s="29">
        <v>177384</v>
      </c>
      <c r="C34" s="29">
        <v>177384</v>
      </c>
      <c r="D34" s="29">
        <f>+B34-C34</f>
        <v>0</v>
      </c>
      <c r="E34" s="29"/>
      <c r="F34" s="29">
        <v>1443897</v>
      </c>
      <c r="G34" s="29">
        <f>+E34-F34</f>
        <v>-1443897</v>
      </c>
      <c r="H34" s="29">
        <v>1966502</v>
      </c>
      <c r="I34" s="29">
        <v>1966503</v>
      </c>
      <c r="J34" s="29">
        <f>+H34-I34</f>
        <v>-1</v>
      </c>
      <c r="K34" s="29">
        <v>1966502</v>
      </c>
      <c r="L34" s="29">
        <v>1966503</v>
      </c>
      <c r="M34" s="29">
        <f>+K34-L34</f>
        <v>-1</v>
      </c>
    </row>
    <row r="35" spans="2:13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22" t="s">
        <v>29</v>
      </c>
      <c r="B36" s="30">
        <f aca="true" t="shared" si="4" ref="B36:J36">+B32-B34</f>
        <v>161156</v>
      </c>
      <c r="C36" s="30">
        <f t="shared" si="4"/>
        <v>161156</v>
      </c>
      <c r="D36" s="30">
        <f t="shared" si="4"/>
        <v>0</v>
      </c>
      <c r="E36" s="30">
        <f t="shared" si="4"/>
        <v>0</v>
      </c>
      <c r="F36" s="30">
        <f t="shared" si="4"/>
        <v>792200</v>
      </c>
      <c r="G36" s="30">
        <f t="shared" si="4"/>
        <v>-792200</v>
      </c>
      <c r="H36" s="32">
        <f t="shared" si="4"/>
        <v>1947124</v>
      </c>
      <c r="I36" s="32">
        <f t="shared" si="4"/>
        <v>1472932</v>
      </c>
      <c r="J36" s="32">
        <f t="shared" si="4"/>
        <v>474192</v>
      </c>
      <c r="K36" s="32">
        <f>+K32-K34</f>
        <v>1947124</v>
      </c>
      <c r="L36" s="32">
        <f>+L32-L34</f>
        <v>1472932</v>
      </c>
      <c r="M36" s="32">
        <f>+M32-M34</f>
        <v>474192</v>
      </c>
    </row>
    <row r="37" spans="2:13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2.75">
      <c r="A38" s="22" t="s">
        <v>30</v>
      </c>
      <c r="B38" s="29">
        <f>3497+174390</f>
        <v>177887</v>
      </c>
      <c r="C38" s="29">
        <v>177887</v>
      </c>
      <c r="D38" s="29">
        <f>+B38-C38</f>
        <v>0</v>
      </c>
      <c r="E38" s="29">
        <v>5286525</v>
      </c>
      <c r="F38" s="29">
        <v>5295374</v>
      </c>
      <c r="G38" s="29">
        <f>+E38-F38</f>
        <v>-8849</v>
      </c>
      <c r="H38" s="29">
        <f>2270798+344789</f>
        <v>2615587</v>
      </c>
      <c r="I38" s="29">
        <f>2270798+344789</f>
        <v>2615587</v>
      </c>
      <c r="J38" s="29">
        <f>+H38-I38</f>
        <v>0</v>
      </c>
      <c r="K38" s="29">
        <f>2270798+344789</f>
        <v>2615587</v>
      </c>
      <c r="L38" s="29">
        <f>2270798+344789</f>
        <v>2615587</v>
      </c>
      <c r="M38" s="29">
        <f>+K38-L38</f>
        <v>0</v>
      </c>
    </row>
    <row r="39" spans="2:13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2.75">
      <c r="A40" s="22" t="s">
        <v>31</v>
      </c>
      <c r="B40" s="29"/>
      <c r="C40" s="29">
        <v>0</v>
      </c>
      <c r="D40" s="29">
        <f>+B40-C40</f>
        <v>0</v>
      </c>
      <c r="E40" s="29">
        <v>3389864</v>
      </c>
      <c r="F40" s="29">
        <v>3389864</v>
      </c>
      <c r="G40" s="29">
        <f>+E40-F40</f>
        <v>0</v>
      </c>
      <c r="H40" s="29"/>
      <c r="I40" s="29">
        <v>0</v>
      </c>
      <c r="J40" s="29">
        <f>+H40-I40</f>
        <v>0</v>
      </c>
      <c r="K40" s="29"/>
      <c r="L40" s="29">
        <v>0</v>
      </c>
      <c r="M40" s="29">
        <f>+K40-L40</f>
        <v>0</v>
      </c>
    </row>
    <row r="41" spans="2:13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.75">
      <c r="A42" s="22" t="s">
        <v>32</v>
      </c>
      <c r="B42" s="29">
        <f>158173+3499</f>
        <v>161672</v>
      </c>
      <c r="C42" s="29">
        <f>152061+3494</f>
        <v>155555</v>
      </c>
      <c r="D42" s="29">
        <f>+B42-C42</f>
        <v>6117</v>
      </c>
      <c r="E42" s="29">
        <v>1818615</v>
      </c>
      <c r="F42" s="29">
        <f>1150575+146851</f>
        <v>1297426</v>
      </c>
      <c r="G42" s="29">
        <f>+E42-F42</f>
        <v>521189</v>
      </c>
      <c r="H42" s="29">
        <f>1533588+58314+282281</f>
        <v>1874183</v>
      </c>
      <c r="I42" s="29">
        <f>1533588+58314+282281</f>
        <v>1874183</v>
      </c>
      <c r="J42" s="29">
        <f>+H42-I42</f>
        <v>0</v>
      </c>
      <c r="K42" s="29">
        <f>1533588+58314+282281</f>
        <v>1874183</v>
      </c>
      <c r="L42" s="29">
        <f>1533588+58314+282281</f>
        <v>1874183</v>
      </c>
      <c r="M42" s="29">
        <f>+K42-L42</f>
        <v>0</v>
      </c>
    </row>
    <row r="43" spans="2:13" ht="12.7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2.75">
      <c r="A44" s="22" t="s">
        <v>37</v>
      </c>
      <c r="B44" s="29"/>
      <c r="C44" s="29"/>
      <c r="D44" s="29">
        <f>+B44-C44</f>
        <v>0</v>
      </c>
      <c r="E44" s="29"/>
      <c r="F44" s="29">
        <f>5943+8849</f>
        <v>14792</v>
      </c>
      <c r="G44" s="29">
        <f>+E44-F44</f>
        <v>-14792</v>
      </c>
      <c r="H44" s="29"/>
      <c r="I44" s="29"/>
      <c r="J44" s="29">
        <f>+H44-I44</f>
        <v>0</v>
      </c>
      <c r="K44" s="29"/>
      <c r="L44" s="29"/>
      <c r="M44" s="29">
        <f>+K44-L44</f>
        <v>0</v>
      </c>
    </row>
    <row r="45" spans="2:13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2.75">
      <c r="A46" s="22" t="s">
        <v>33</v>
      </c>
      <c r="B46" s="29">
        <v>15086</v>
      </c>
      <c r="C46" s="29">
        <f>1951+5619</f>
        <v>7570</v>
      </c>
      <c r="D46" s="29">
        <f>+B46-C46</f>
        <v>7516</v>
      </c>
      <c r="E46" s="29"/>
      <c r="F46" s="29">
        <v>202738</v>
      </c>
      <c r="G46" s="29">
        <f>+E46-F46</f>
        <v>-202738</v>
      </c>
      <c r="H46" s="29">
        <f>136270+132488+4747</f>
        <v>273505</v>
      </c>
      <c r="I46" s="29">
        <f>136270+132488+4747</f>
        <v>273505</v>
      </c>
      <c r="J46" s="29">
        <f>+H46-I46</f>
        <v>0</v>
      </c>
      <c r="K46" s="29">
        <f>136270+132488+4747</f>
        <v>273505</v>
      </c>
      <c r="L46" s="29">
        <f>136270+132488+4747</f>
        <v>273505</v>
      </c>
      <c r="M46" s="29">
        <f>+K46-L46</f>
        <v>0</v>
      </c>
    </row>
    <row r="47" spans="2:13" ht="12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.75">
      <c r="A48" s="22" t="s">
        <v>34</v>
      </c>
      <c r="B48" s="30">
        <f aca="true" t="shared" si="5" ref="B48:J48">+B38-B40-B42-B44-B46</f>
        <v>1129</v>
      </c>
      <c r="C48" s="30">
        <f t="shared" si="5"/>
        <v>14762</v>
      </c>
      <c r="D48" s="31">
        <f t="shared" si="5"/>
        <v>-13633</v>
      </c>
      <c r="E48" s="30">
        <f t="shared" si="5"/>
        <v>78046</v>
      </c>
      <c r="F48" s="30">
        <f t="shared" si="5"/>
        <v>390554</v>
      </c>
      <c r="G48" s="30">
        <f t="shared" si="5"/>
        <v>-312508</v>
      </c>
      <c r="H48" s="30">
        <f t="shared" si="5"/>
        <v>467899</v>
      </c>
      <c r="I48" s="30">
        <f t="shared" si="5"/>
        <v>467899</v>
      </c>
      <c r="J48" s="31">
        <f t="shared" si="5"/>
        <v>0</v>
      </c>
      <c r="K48" s="30">
        <f>+K38-K40-K42-K44-K46</f>
        <v>467899</v>
      </c>
      <c r="L48" s="30">
        <f>+L38-L40-L42-L44-L46</f>
        <v>467899</v>
      </c>
      <c r="M48" s="31">
        <f>+M38-M40-M42-M44-M46</f>
        <v>0</v>
      </c>
    </row>
    <row r="49" ht="12.75">
      <c r="D49" s="25" t="s">
        <v>38</v>
      </c>
    </row>
  </sheetData>
  <sheetProtection/>
  <mergeCells count="12">
    <mergeCell ref="H29:J29"/>
    <mergeCell ref="B4:D4"/>
    <mergeCell ref="N4:P4"/>
    <mergeCell ref="K3:P3"/>
    <mergeCell ref="E4:G4"/>
    <mergeCell ref="H4:J4"/>
    <mergeCell ref="K4:M4"/>
    <mergeCell ref="K29:M29"/>
    <mergeCell ref="A2:C2"/>
    <mergeCell ref="A27:C27"/>
    <mergeCell ref="B29:D29"/>
    <mergeCell ref="E29:G2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jtesoreriap</cp:lastModifiedBy>
  <cp:lastPrinted>2008-09-29T19:13:47Z</cp:lastPrinted>
  <dcterms:created xsi:type="dcterms:W3CDTF">2008-02-21T13:10:19Z</dcterms:created>
  <dcterms:modified xsi:type="dcterms:W3CDTF">2008-10-06T22:21:55Z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