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</definedNames>
  <calcPr fullCalcOnLoad="1"/>
</workbook>
</file>

<file path=xl/sharedStrings.xml><?xml version="1.0" encoding="utf-8"?>
<sst xmlns="http://schemas.openxmlformats.org/spreadsheetml/2006/main" count="129" uniqueCount="71">
  <si>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</si>
  <si>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</si>
  <si>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</si>
  <si>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</si>
  <si>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</si>
  <si>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</si>
  <si>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</si>
  <si>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</si>
  <si>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</si>
  <si>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</si>
  <si>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</si>
  <si>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</si>
  <si>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</si>
  <si>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</si>
  <si>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</si>
  <si>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</si>
  <si>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</si>
  <si>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</si>
  <si>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</si>
  <si>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</si>
  <si>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</si>
  <si>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</si>
  <si>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</si>
  <si>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</si>
  <si>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</si>
  <si>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</si>
  <si>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</si>
  <si>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</si>
  <si>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</si>
  <si>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</si>
  <si>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</si>
  <si>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</si>
  <si>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</si>
  <si>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</si>
  <si>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</si>
  <si>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</si>
  <si>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</si>
  <si>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</si>
  <si>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</si>
  <si>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</si>
  <si>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</si>
  <si>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</si>
  <si>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</si>
  <si>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</si>
  <si>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</si>
  <si>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</si>
  <si>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</si>
  <si>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</si>
  <si>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</si>
  <si>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</si>
  <si>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</si>
  <si>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</si>
  <si>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</si>
  <si>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 xml:space="preserve"> - ((% Participacion X 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</si>
  <si>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</si>
  <si>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</si>
  <si>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</si>
  <si>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</si>
  <si>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</si>
  <si>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</si>
  <si>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CONVOCATORIA PUBLICA No. 06 DE 2009</t>
  </si>
  <si>
    <t>LIQUIDEZ</t>
  </si>
  <si>
    <t>CONSTRUCTORA CASTELL CAMEL LTDA</t>
  </si>
  <si>
    <t>CONTADOR</t>
  </si>
  <si>
    <t>NELLY CASTELLANOS CAMELO</t>
  </si>
  <si>
    <t>REVISOR FISCAL</t>
  </si>
  <si>
    <t>FRANCISCO JAVIER VARGAS</t>
  </si>
  <si>
    <t>PROMOTORA APOTEMA S.A</t>
  </si>
  <si>
    <t>MARIA MARGARITA ROJAS</t>
  </si>
  <si>
    <t>AVELINO ROSAS RODRIGUEZ</t>
  </si>
  <si>
    <t>Presupuesto Oficial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</si>
</sst>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240A]hh:mm:ss\ AM/PM"/>
    <numFmt numFmtId="192" formatCode="[$-240A]dddd\,\ dd&quot; de &quot;mmmm&quot; de &quot;yyyy"/>
    <numFmt numFmtId="193" formatCode="yyyy\-mm\-dd;@"/>
  </numFmts>
  <fonts count="14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19" applyFont="1" applyBorder="1" applyAlignment="1">
      <alignment horizontal="center" vertical="center" wrapText="1"/>
    </xf>
    <xf numFmtId="9" fontId="1" fillId="0" borderId="0" xfId="19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9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6" fontId="0" fillId="4" borderId="18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19" xfId="0" applyNumberFormat="1" applyFill="1" applyBorder="1" applyAlignment="1">
      <alignment vertical="center"/>
    </xf>
    <xf numFmtId="9" fontId="0" fillId="5" borderId="18" xfId="19" applyFill="1" applyBorder="1" applyAlignment="1" applyProtection="1">
      <alignment/>
      <protection locked="0"/>
    </xf>
    <xf numFmtId="3" fontId="0" fillId="5" borderId="21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5" xfId="0" applyNumberFormat="1" applyBorder="1" applyAlignment="1">
      <alignment/>
    </xf>
    <xf numFmtId="3" fontId="0" fillId="4" borderId="25" xfId="19" applyNumberFormat="1" applyFill="1" applyBorder="1" applyAlignment="1">
      <alignment/>
    </xf>
    <xf numFmtId="3" fontId="0" fillId="4" borderId="21" xfId="19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9" fontId="0" fillId="4" borderId="19" xfId="19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3" fontId="5" fillId="5" borderId="13" xfId="0" applyNumberFormat="1" applyFont="1" applyFill="1" applyBorder="1" applyAlignment="1" applyProtection="1">
      <alignment/>
      <protection locked="0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3" fontId="0" fillId="0" borderId="21" xfId="0" applyNumberFormat="1" applyFill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 applyProtection="1">
      <alignment/>
      <protection locked="0"/>
    </xf>
    <xf numFmtId="193" fontId="0" fillId="0" borderId="21" xfId="0" applyNumberFormat="1" applyFill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176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9" fontId="9" fillId="3" borderId="0" xfId="19" applyFont="1" applyFill="1" applyBorder="1" applyAlignment="1">
      <alignment horizontal="center" vertical="center" wrapText="1"/>
    </xf>
    <xf numFmtId="176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C39" sqref="C39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5" t="s">
        <v>8</v>
      </c>
      <c r="F2" s="95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50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50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50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27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10" sqref="C10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32</v>
      </c>
      <c r="E4" s="3" t="s">
        <v>30</v>
      </c>
      <c r="F4" s="3" t="s">
        <v>31</v>
      </c>
      <c r="G4" s="3" t="s">
        <v>47</v>
      </c>
      <c r="H4" s="25" t="s">
        <v>45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91">
        <v>1</v>
      </c>
      <c r="I6" s="10"/>
    </row>
    <row r="7" spans="1:9" ht="11.25">
      <c r="A7" s="9"/>
      <c r="B7" s="24"/>
      <c r="C7" s="12"/>
      <c r="D7" s="90"/>
      <c r="E7" s="90"/>
      <c r="F7" s="17"/>
      <c r="G7" s="46"/>
      <c r="H7" s="92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91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92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91">
        <v>0.2</v>
      </c>
      <c r="I10" s="10"/>
    </row>
    <row r="11" spans="1:9" ht="11.25">
      <c r="A11" s="9"/>
      <c r="B11" s="24"/>
      <c r="C11" s="12"/>
      <c r="D11" s="90"/>
      <c r="E11" s="90"/>
      <c r="F11" s="17"/>
      <c r="G11" s="48"/>
      <c r="H11" s="92"/>
      <c r="I11" s="10"/>
    </row>
    <row r="12" spans="1:9" ht="22.5" customHeight="1">
      <c r="A12" s="9"/>
      <c r="B12" s="26"/>
      <c r="C12" s="3" t="s">
        <v>15</v>
      </c>
      <c r="D12" s="90"/>
      <c r="E12" s="90"/>
      <c r="F12" s="17"/>
      <c r="G12" s="48"/>
      <c r="H12" s="92"/>
      <c r="I12" s="10"/>
    </row>
    <row r="13" spans="1:9" ht="11.25">
      <c r="A13" s="9"/>
      <c r="B13" s="24"/>
      <c r="C13" s="12"/>
      <c r="D13" s="90"/>
      <c r="E13" s="90"/>
      <c r="F13" s="17"/>
      <c r="G13" s="48"/>
      <c r="H13" s="92"/>
      <c r="I13" s="10"/>
    </row>
    <row r="14" spans="1:9" ht="11.25">
      <c r="A14" s="9"/>
      <c r="B14" s="26">
        <v>4</v>
      </c>
      <c r="C14" s="4" t="s">
        <v>50</v>
      </c>
      <c r="D14" s="46">
        <v>1.4</v>
      </c>
      <c r="E14" s="46">
        <v>0.7</v>
      </c>
      <c r="F14" s="18">
        <v>0.5</v>
      </c>
      <c r="G14" s="46">
        <v>1.3</v>
      </c>
      <c r="H14" s="91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92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91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92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93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4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0"/>
  <sheetViews>
    <sheetView tabSelected="1" view="pageBreakPreview" zoomScale="75" zoomScaleNormal="90" zoomScaleSheetLayoutView="75" workbookViewId="0" topLeftCell="A1">
      <selection activeCell="V26" sqref="V26"/>
    </sheetView>
  </sheetViews>
  <sheetFormatPr defaultColWidth="11.421875" defaultRowHeight="12.75"/>
  <cols>
    <col min="2" max="2" width="19.7109375" style="0" customWidth="1"/>
    <col min="3" max="3" width="47.7109375" style="0" customWidth="1"/>
    <col min="4" max="4" width="25.57421875" style="0" customWidth="1"/>
    <col min="5" max="5" width="3.421875" style="0" customWidth="1"/>
    <col min="6" max="6" width="14.00390625" style="0" customWidth="1"/>
    <col min="7" max="7" width="2.00390625" style="0" customWidth="1"/>
    <col min="8" max="8" width="29.71093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25.57421875" style="0" customWidth="1"/>
    <col min="13" max="13" width="2.421875" style="0" customWidth="1"/>
    <col min="14" max="14" width="16.28125" style="0" customWidth="1"/>
    <col min="15" max="15" width="2.421875" style="0" customWidth="1"/>
    <col min="16" max="16" width="19.421875" style="0" customWidth="1"/>
    <col min="17" max="17" width="2.421875" style="0" customWidth="1"/>
    <col min="18" max="18" width="16.28125" style="0" bestFit="1" customWidth="1"/>
    <col min="19" max="19" width="2.421875" style="0" customWidth="1"/>
  </cols>
  <sheetData>
    <row r="1" spans="1:3" ht="18">
      <c r="A1" s="130" t="s">
        <v>60</v>
      </c>
      <c r="B1" s="130"/>
      <c r="C1" s="130"/>
    </row>
    <row r="2" spans="1:3" ht="30.75" customHeight="1">
      <c r="A2" s="129" t="s">
        <v>7</v>
      </c>
      <c r="B2" s="129"/>
      <c r="C2" s="129"/>
    </row>
    <row r="3" spans="8:18" ht="12.75">
      <c r="H3" s="102" t="str">
        <f>+$B$9</f>
        <v>Presupuesto Oficial</v>
      </c>
      <c r="J3" s="103">
        <f>IF($B$9="Presupuesto Oficial",$C$9,#REF!)</f>
        <v>14522214508</v>
      </c>
      <c r="P3" s="102" t="str">
        <f>+$B$9</f>
        <v>Presupuesto Oficial</v>
      </c>
      <c r="R3" s="103">
        <f>IF($B$9="Presupuesto Oficial",$C$9,#REF!)</f>
        <v>14522214508</v>
      </c>
    </row>
    <row r="4" spans="4:14" ht="13.5" thickBot="1">
      <c r="D4" s="75" t="s">
        <v>44</v>
      </c>
      <c r="F4" s="89"/>
      <c r="L4" s="75"/>
      <c r="N4" s="89"/>
    </row>
    <row r="5" spans="4:18" ht="13.5" thickBot="1">
      <c r="D5" s="123" t="s">
        <v>62</v>
      </c>
      <c r="E5" s="124"/>
      <c r="F5" s="124"/>
      <c r="G5" s="124"/>
      <c r="H5" s="124"/>
      <c r="I5" s="124"/>
      <c r="J5" s="125"/>
      <c r="L5" s="123" t="s">
        <v>67</v>
      </c>
      <c r="M5" s="124"/>
      <c r="N5" s="124"/>
      <c r="O5" s="124"/>
      <c r="P5" s="124"/>
      <c r="Q5" s="124"/>
      <c r="R5" s="125"/>
    </row>
    <row r="6" spans="1:14" ht="13.5" thickBot="1">
      <c r="A6" s="88">
        <v>7</v>
      </c>
      <c r="B6" s="140" t="str">
        <f>CONCATENATE(C94,"  -  ",C95)</f>
        <v>Con anticipo sin restricciones.  -  Proveeduría de servicios.</v>
      </c>
      <c r="C6" s="141"/>
      <c r="D6" s="67" t="s">
        <v>39</v>
      </c>
      <c r="F6" s="73">
        <v>1</v>
      </c>
      <c r="L6" s="67" t="s">
        <v>39</v>
      </c>
      <c r="N6" s="73">
        <v>1</v>
      </c>
    </row>
    <row r="7" spans="1:18" ht="18.75" thickBot="1">
      <c r="A7" s="53" t="s">
        <v>33</v>
      </c>
      <c r="B7" s="77"/>
      <c r="C7" s="78"/>
      <c r="D7" s="145" t="s">
        <v>58</v>
      </c>
      <c r="E7" s="146"/>
      <c r="F7" s="147"/>
      <c r="H7" s="148"/>
      <c r="I7" s="148"/>
      <c r="J7" s="148"/>
      <c r="L7" s="145" t="str">
        <f>+D7</f>
        <v>BALANCE A DICIEMBRE 31 DE 2008</v>
      </c>
      <c r="M7" s="146"/>
      <c r="N7" s="147"/>
      <c r="P7" s="149">
        <f>+H7</f>
        <v>0</v>
      </c>
      <c r="Q7" s="149"/>
      <c r="R7" s="149"/>
    </row>
    <row r="8" spans="1:14" ht="13.5" thickBot="1">
      <c r="A8" s="88" t="s">
        <v>57</v>
      </c>
      <c r="B8" s="77"/>
      <c r="C8" s="78"/>
      <c r="D8" s="61" t="s">
        <v>25</v>
      </c>
      <c r="F8" s="74">
        <v>9404488000</v>
      </c>
      <c r="H8" s="110"/>
      <c r="I8" s="110"/>
      <c r="J8" s="110"/>
      <c r="L8" s="61" t="s">
        <v>25</v>
      </c>
      <c r="N8" s="74">
        <v>15001733911.05</v>
      </c>
    </row>
    <row r="9" spans="1:14" ht="18.75" thickBot="1">
      <c r="A9" s="96" t="s">
        <v>38</v>
      </c>
      <c r="B9" s="104" t="str">
        <f>IF(A8="O","Oferta",IF(A8="","",IF(A8="p","Presupuesto Oficial")))</f>
        <v>Presupuesto Oficial</v>
      </c>
      <c r="C9" s="105">
        <v>14522214508</v>
      </c>
      <c r="D9" s="61" t="s">
        <v>28</v>
      </c>
      <c r="F9" s="74">
        <v>15247519000</v>
      </c>
      <c r="H9" s="110"/>
      <c r="I9" s="110"/>
      <c r="J9" s="110"/>
      <c r="L9" s="61" t="s">
        <v>28</v>
      </c>
      <c r="N9" s="74">
        <v>38365526442.48</v>
      </c>
    </row>
    <row r="10" spans="1:14" ht="13.5" thickBot="1">
      <c r="A10" s="88">
        <v>12</v>
      </c>
      <c r="B10" s="77"/>
      <c r="C10" s="78"/>
      <c r="D10" s="61" t="s">
        <v>26</v>
      </c>
      <c r="F10" s="74">
        <v>3724730000</v>
      </c>
      <c r="H10" s="110"/>
      <c r="I10" s="110"/>
      <c r="J10" s="110"/>
      <c r="L10" s="61" t="s">
        <v>26</v>
      </c>
      <c r="N10" s="74">
        <v>11251368209.91</v>
      </c>
    </row>
    <row r="11" spans="1:18" ht="27.75" thickBot="1">
      <c r="A11" s="96" t="s">
        <v>46</v>
      </c>
      <c r="D11" s="61" t="s">
        <v>29</v>
      </c>
      <c r="F11" s="74">
        <v>8534587000</v>
      </c>
      <c r="H11" s="110"/>
      <c r="I11" s="110"/>
      <c r="J11" s="110"/>
      <c r="L11" s="61" t="s">
        <v>29</v>
      </c>
      <c r="N11" s="74">
        <v>19232977547.07</v>
      </c>
      <c r="P11" s="110"/>
      <c r="Q11" s="110"/>
      <c r="R11" s="110"/>
    </row>
    <row r="12" spans="1:18" ht="13.5" thickBot="1">
      <c r="A12" s="88"/>
      <c r="B12" s="77"/>
      <c r="C12" s="78">
        <f>2500000*100/C9</f>
        <v>0.017215005319077194</v>
      </c>
      <c r="D12" s="61" t="s">
        <v>59</v>
      </c>
      <c r="F12" s="108">
        <f>+F9-F11</f>
        <v>6712932000</v>
      </c>
      <c r="H12" s="110"/>
      <c r="I12" s="111"/>
      <c r="J12" s="112"/>
      <c r="L12" s="61" t="s">
        <v>59</v>
      </c>
      <c r="N12" s="108">
        <f>+N9-N11</f>
        <v>19132548895.410004</v>
      </c>
      <c r="P12" s="110"/>
      <c r="Q12" s="111"/>
      <c r="R12" s="112"/>
    </row>
    <row r="13" spans="1:18" ht="13.5" thickBot="1">
      <c r="A13" s="88"/>
      <c r="B13" s="77"/>
      <c r="C13" s="78"/>
      <c r="D13" s="109"/>
      <c r="F13" s="108"/>
      <c r="H13" s="110"/>
      <c r="I13" s="111"/>
      <c r="J13" s="112"/>
      <c r="L13" s="109"/>
      <c r="N13" s="108"/>
      <c r="P13" s="110"/>
      <c r="Q13" s="111"/>
      <c r="R13" s="112"/>
    </row>
    <row r="14" spans="1:18" ht="13.5" thickBot="1">
      <c r="A14" s="88"/>
      <c r="B14" s="77"/>
      <c r="C14" s="50"/>
      <c r="D14" s="114" t="s">
        <v>63</v>
      </c>
      <c r="F14" s="113">
        <v>39899</v>
      </c>
      <c r="H14" s="109" t="s">
        <v>64</v>
      </c>
      <c r="I14" s="111"/>
      <c r="J14" s="112"/>
      <c r="L14" s="114" t="s">
        <v>63</v>
      </c>
      <c r="N14" s="113">
        <v>39953</v>
      </c>
      <c r="P14" s="109" t="s">
        <v>68</v>
      </c>
      <c r="Q14" s="111"/>
      <c r="R14" s="112"/>
    </row>
    <row r="15" spans="1:18" ht="13.5" thickBot="1">
      <c r="A15" s="88"/>
      <c r="B15" s="77"/>
      <c r="C15" s="50"/>
      <c r="D15" s="115" t="s">
        <v>65</v>
      </c>
      <c r="F15" s="113">
        <v>39933</v>
      </c>
      <c r="H15" s="109" t="s">
        <v>66</v>
      </c>
      <c r="I15" s="111"/>
      <c r="J15" s="110"/>
      <c r="L15" s="115" t="s">
        <v>65</v>
      </c>
      <c r="N15" s="113">
        <v>39953</v>
      </c>
      <c r="P15" s="109" t="s">
        <v>69</v>
      </c>
      <c r="Q15" s="111"/>
      <c r="R15" s="110"/>
    </row>
    <row r="16" spans="4:18" ht="12.75">
      <c r="D16" s="75"/>
      <c r="F16" s="89"/>
      <c r="H16" s="110"/>
      <c r="I16" s="110"/>
      <c r="J16" s="110"/>
      <c r="L16" s="75"/>
      <c r="N16" s="89"/>
      <c r="P16" s="110"/>
      <c r="Q16" s="110"/>
      <c r="R16" s="110"/>
    </row>
    <row r="17" spans="4:18" ht="13.5" thickBot="1">
      <c r="D17" s="75" t="s">
        <v>44</v>
      </c>
      <c r="F17" s="89"/>
      <c r="L17" s="75"/>
      <c r="N17" s="89"/>
      <c r="P17" s="110"/>
      <c r="Q17" s="110"/>
      <c r="R17" s="110"/>
    </row>
    <row r="18" spans="2:18" ht="21.75" customHeight="1" thickBot="1">
      <c r="B18" s="76"/>
      <c r="C18" s="106"/>
      <c r="D18" s="123" t="s">
        <v>62</v>
      </c>
      <c r="E18" s="124"/>
      <c r="F18" s="124"/>
      <c r="G18" s="124"/>
      <c r="H18" s="124"/>
      <c r="I18" s="124"/>
      <c r="J18" s="125"/>
      <c r="L18" s="132" t="str">
        <f>+L5</f>
        <v>PROMOTORA APOTEMA S.A</v>
      </c>
      <c r="M18" s="133"/>
      <c r="N18" s="133"/>
      <c r="O18" s="133"/>
      <c r="P18" s="133"/>
      <c r="Q18" s="133"/>
      <c r="R18" s="134"/>
    </row>
    <row r="19" spans="2:18" ht="13.5" thickBot="1">
      <c r="B19" s="77"/>
      <c r="C19" s="78"/>
      <c r="D19" s="76"/>
      <c r="E19" s="99"/>
      <c r="F19" s="99"/>
      <c r="G19" s="99"/>
      <c r="H19" s="99"/>
      <c r="I19" s="99"/>
      <c r="J19" s="100"/>
      <c r="L19" s="77"/>
      <c r="M19" s="50"/>
      <c r="N19" s="50"/>
      <c r="O19" s="50"/>
      <c r="P19" s="50"/>
      <c r="Q19" s="50"/>
      <c r="R19" s="78"/>
    </row>
    <row r="20" spans="1:18" ht="12.75">
      <c r="A20" s="144">
        <v>1.5</v>
      </c>
      <c r="B20" s="135" t="s">
        <v>61</v>
      </c>
      <c r="C20" s="131" t="str">
        <f>CONCATENATE(C302,"  ",A20)</f>
        <v>Activo corriente / Pasivo corriente &gt;=   1,5</v>
      </c>
      <c r="D20" s="57" t="s">
        <v>25</v>
      </c>
      <c r="E20" s="50"/>
      <c r="F20" s="56">
        <f>+F8</f>
        <v>9404488000</v>
      </c>
      <c r="G20" s="50"/>
      <c r="H20" s="126">
        <f>+F20/F21</f>
        <v>2.5248777763757375</v>
      </c>
      <c r="I20" s="50"/>
      <c r="J20" s="127" t="str">
        <f>IF(F20="","",IF(H20&gt;=A20,"CUMPLE","NO CUMPLE"))</f>
        <v>CUMPLE</v>
      </c>
      <c r="L20" s="57" t="s">
        <v>25</v>
      </c>
      <c r="M20" s="50"/>
      <c r="N20" s="56">
        <f>+N8</f>
        <v>15001733911.05</v>
      </c>
      <c r="O20" s="50"/>
      <c r="P20" s="126">
        <f>+N20/N21</f>
        <v>1.3333253015252622</v>
      </c>
      <c r="Q20" s="50"/>
      <c r="R20" s="127" t="str">
        <f>IF(N20="","",IF(P20&gt;=A20,"CUMPLE","NO CUMPLE"))</f>
        <v>NO CUMPLE</v>
      </c>
    </row>
    <row r="21" spans="1:18" ht="13.5" thickBot="1">
      <c r="A21" s="144" t="str">
        <f>VLOOKUP($A$6,COMBINACIONES!$B$4:$I$20,3,0)</f>
        <v>Proveeduría de servicios.</v>
      </c>
      <c r="B21" s="135"/>
      <c r="C21" s="131"/>
      <c r="D21" s="58" t="s">
        <v>26</v>
      </c>
      <c r="E21" s="50"/>
      <c r="F21" s="72">
        <f>+F10</f>
        <v>3724730000</v>
      </c>
      <c r="G21" s="50"/>
      <c r="H21" s="126"/>
      <c r="I21" s="50"/>
      <c r="J21" s="127"/>
      <c r="L21" s="58" t="s">
        <v>26</v>
      </c>
      <c r="M21" s="50"/>
      <c r="N21" s="72">
        <f>+N10</f>
        <v>11251368209.91</v>
      </c>
      <c r="O21" s="50"/>
      <c r="P21" s="126"/>
      <c r="Q21" s="50"/>
      <c r="R21" s="127"/>
    </row>
    <row r="22" spans="1:18" ht="13.5" thickBot="1">
      <c r="A22" s="68"/>
      <c r="B22" s="77"/>
      <c r="C22" s="78"/>
      <c r="D22" s="77"/>
      <c r="E22" s="50"/>
      <c r="F22" s="50"/>
      <c r="G22" s="50"/>
      <c r="H22" s="50"/>
      <c r="I22" s="50"/>
      <c r="J22" s="79"/>
      <c r="L22" s="77"/>
      <c r="M22" s="50"/>
      <c r="N22" s="50"/>
      <c r="O22" s="50"/>
      <c r="P22" s="50"/>
      <c r="Q22" s="50"/>
      <c r="R22" s="79"/>
    </row>
    <row r="23" spans="1:18" ht="12.75">
      <c r="A23" s="144">
        <v>0.6</v>
      </c>
      <c r="B23" s="135" t="s">
        <v>27</v>
      </c>
      <c r="C23" s="131" t="str">
        <f>CONCATENATE(C303,"  ",A23)</f>
        <v>Pasivo total / Activo total  &lt;=   0,6</v>
      </c>
      <c r="D23" s="57" t="s">
        <v>29</v>
      </c>
      <c r="E23" s="50"/>
      <c r="F23" s="56">
        <f>+F11</f>
        <v>8534587000</v>
      </c>
      <c r="G23" s="50"/>
      <c r="H23" s="128">
        <f>+F23/F24</f>
        <v>0.5597361118225201</v>
      </c>
      <c r="I23" s="50"/>
      <c r="J23" s="127" t="str">
        <f>IF(F23="","",IF(H23&lt;=A23,"CUMPLE","NO CUMPLE"))</f>
        <v>CUMPLE</v>
      </c>
      <c r="L23" s="57" t="s">
        <v>29</v>
      </c>
      <c r="M23" s="50"/>
      <c r="N23" s="56">
        <f>+N11</f>
        <v>19232977547.07</v>
      </c>
      <c r="O23" s="50"/>
      <c r="P23" s="128">
        <f>+N23/N24</f>
        <v>0.501308839744589</v>
      </c>
      <c r="Q23" s="50"/>
      <c r="R23" s="127" t="str">
        <f>IF(N23="","",IF(P23&lt;=A23,"CUMPLE","NO CUMPLE"))</f>
        <v>CUMPLE</v>
      </c>
    </row>
    <row r="24" spans="1:18" ht="13.5" thickBot="1">
      <c r="A24" s="144" t="str">
        <f>VLOOKUP($A$6,COMBINACIONES!$B$4:$I$20,3,0)</f>
        <v>Proveeduría de servicios.</v>
      </c>
      <c r="B24" s="135"/>
      <c r="C24" s="131"/>
      <c r="D24" s="58" t="s">
        <v>28</v>
      </c>
      <c r="E24" s="50"/>
      <c r="F24" s="72">
        <f>+F9</f>
        <v>15247519000</v>
      </c>
      <c r="G24" s="50"/>
      <c r="H24" s="128"/>
      <c r="I24" s="50"/>
      <c r="J24" s="127"/>
      <c r="L24" s="58" t="s">
        <v>28</v>
      </c>
      <c r="M24" s="50"/>
      <c r="N24" s="72">
        <f>+N9</f>
        <v>38365526442.48</v>
      </c>
      <c r="O24" s="50"/>
      <c r="P24" s="128"/>
      <c r="Q24" s="50"/>
      <c r="R24" s="127"/>
    </row>
    <row r="25" spans="1:18" ht="13.5" thickBot="1">
      <c r="A25" s="68"/>
      <c r="B25" s="77"/>
      <c r="C25" s="78"/>
      <c r="D25" s="77"/>
      <c r="E25" s="50"/>
      <c r="F25" s="50"/>
      <c r="G25" s="50"/>
      <c r="H25" s="50"/>
      <c r="I25" s="50"/>
      <c r="J25" s="79"/>
      <c r="L25" s="77"/>
      <c r="M25" s="50"/>
      <c r="N25" s="50"/>
      <c r="O25" s="50"/>
      <c r="P25" s="50"/>
      <c r="Q25" s="50"/>
      <c r="R25" s="79"/>
    </row>
    <row r="26" spans="1:18" ht="12.75" customHeight="1">
      <c r="A26" s="142">
        <v>0.1721</v>
      </c>
      <c r="B26" s="136" t="s">
        <v>34</v>
      </c>
      <c r="C26" s="139" t="str">
        <f>CONCATENATE(C304," ",A26," ",D304,F304,H304)</f>
        <v>(Activo corriente - Pasivo corriente) - (   0,1721  * Presupuesto Oficial) = SCT</v>
      </c>
      <c r="D26" s="59" t="s">
        <v>36</v>
      </c>
      <c r="E26" s="50"/>
      <c r="F26" s="56">
        <f>+F20-F21</f>
        <v>5679758000</v>
      </c>
      <c r="G26" s="50"/>
      <c r="H26" s="116">
        <f>+(F26)-(F28*F27)</f>
        <v>3180484883.1732</v>
      </c>
      <c r="I26" s="50"/>
      <c r="J26" s="119" t="str">
        <f>IF(H26&gt;=0,"CUMPLE","NO CUMPLE")</f>
        <v>CUMPLE</v>
      </c>
      <c r="L26" s="59" t="s">
        <v>36</v>
      </c>
      <c r="M26" s="50"/>
      <c r="N26" s="56">
        <f>+N20-N21</f>
        <v>3750365701.1399994</v>
      </c>
      <c r="O26" s="50"/>
      <c r="P26" s="116">
        <f>+(N26)-(N28*N27)</f>
        <v>1251092584.3131995</v>
      </c>
      <c r="Q26" s="50"/>
      <c r="R26" s="119" t="str">
        <f>IF(P26&gt;=0,"CUMPLE","NO CUMPLE")</f>
        <v>CUMPLE</v>
      </c>
    </row>
    <row r="27" spans="1:18" ht="12.75">
      <c r="A27" s="142"/>
      <c r="B27" s="137"/>
      <c r="C27" s="139"/>
      <c r="D27" s="84" t="str">
        <f>+$B$9</f>
        <v>Presupuesto Oficial</v>
      </c>
      <c r="E27" s="50"/>
      <c r="F27" s="85">
        <f>IF($B9="Presupuesto",$C$9,J3)</f>
        <v>14522214508</v>
      </c>
      <c r="G27" s="50"/>
      <c r="H27" s="117"/>
      <c r="I27" s="50"/>
      <c r="J27" s="120"/>
      <c r="L27" s="84" t="str">
        <f>+$B$9</f>
        <v>Presupuesto Oficial</v>
      </c>
      <c r="M27" s="50"/>
      <c r="N27" s="85">
        <f>IF($B9="Presupuesto",$C$9,R3)</f>
        <v>14522214508</v>
      </c>
      <c r="O27" s="50"/>
      <c r="P27" s="117"/>
      <c r="Q27" s="50"/>
      <c r="R27" s="120"/>
    </row>
    <row r="28" spans="1:18" ht="13.5" thickBot="1">
      <c r="A28" s="142"/>
      <c r="B28" s="138"/>
      <c r="C28" s="139"/>
      <c r="D28" s="97" t="s">
        <v>40</v>
      </c>
      <c r="E28" s="50"/>
      <c r="F28" s="98">
        <f>+$A$26</f>
        <v>0.1721</v>
      </c>
      <c r="G28" s="50"/>
      <c r="H28" s="118"/>
      <c r="I28" s="50"/>
      <c r="J28" s="122"/>
      <c r="L28" s="97" t="s">
        <v>40</v>
      </c>
      <c r="M28" s="50"/>
      <c r="N28" s="98">
        <f>+$A$26</f>
        <v>0.1721</v>
      </c>
      <c r="O28" s="50"/>
      <c r="P28" s="118"/>
      <c r="Q28" s="50"/>
      <c r="R28" s="120"/>
    </row>
    <row r="29" spans="1:18" ht="12.75">
      <c r="A29" s="68"/>
      <c r="B29" s="80"/>
      <c r="C29" s="107"/>
      <c r="D29" s="77"/>
      <c r="E29" s="50"/>
      <c r="F29" s="64"/>
      <c r="G29" s="50"/>
      <c r="H29" s="63"/>
      <c r="I29" s="50"/>
      <c r="J29" s="81"/>
      <c r="L29" s="77"/>
      <c r="M29" s="50"/>
      <c r="N29" s="64"/>
      <c r="O29" s="50"/>
      <c r="P29" s="63"/>
      <c r="Q29" s="50"/>
      <c r="R29" s="81"/>
    </row>
    <row r="30" spans="1:18" ht="13.5" thickBot="1">
      <c r="A30" s="68"/>
      <c r="B30" s="77"/>
      <c r="C30" s="78"/>
      <c r="D30" s="77"/>
      <c r="E30" s="50"/>
      <c r="F30" s="50"/>
      <c r="G30" s="50"/>
      <c r="H30" s="50"/>
      <c r="I30" s="50"/>
      <c r="J30" s="78"/>
      <c r="L30" s="77"/>
      <c r="M30" s="50"/>
      <c r="N30" s="50"/>
      <c r="O30" s="50"/>
      <c r="P30" s="50"/>
      <c r="Q30" s="50"/>
      <c r="R30" s="78"/>
    </row>
    <row r="31" spans="1:18" ht="15" customHeight="1">
      <c r="A31" s="143">
        <v>3</v>
      </c>
      <c r="B31" s="136" t="s">
        <v>35</v>
      </c>
      <c r="C31" s="139" t="str">
        <f>CONCATENATE("(",A31,C305,D305,F305)</f>
        <v>(3 - ((% Participacion X Presupuesto Oficial) / Patrimonio ) = SRP</v>
      </c>
      <c r="D31" s="51" t="s">
        <v>40</v>
      </c>
      <c r="E31" s="50"/>
      <c r="F31" s="65">
        <f>+$A31</f>
        <v>3</v>
      </c>
      <c r="G31" s="50"/>
      <c r="H31" s="121">
        <f>+F31-((F34/F35))</f>
        <v>1.485676578341625</v>
      </c>
      <c r="I31" s="50"/>
      <c r="J31" s="119" t="str">
        <f>IF(H31&gt;=0,"CUMPLE","NO CUMPLE")</f>
        <v>CUMPLE</v>
      </c>
      <c r="L31" s="51" t="s">
        <v>40</v>
      </c>
      <c r="M31" s="50"/>
      <c r="N31" s="65">
        <f>+$A31</f>
        <v>3</v>
      </c>
      <c r="O31" s="50"/>
      <c r="P31" s="121">
        <f>+N31-((N34/N35))</f>
        <v>2.7722904367726358</v>
      </c>
      <c r="Q31" s="50"/>
      <c r="R31" s="119" t="str">
        <f>IF(P31&gt;=0,"CUMPLE","NO CUMPLE")</f>
        <v>CUMPLE</v>
      </c>
    </row>
    <row r="32" spans="1:18" ht="15" customHeight="1">
      <c r="A32" s="143"/>
      <c r="B32" s="137"/>
      <c r="C32" s="139"/>
      <c r="D32" s="60" t="s">
        <v>37</v>
      </c>
      <c r="E32" s="50"/>
      <c r="F32" s="55">
        <v>0.7</v>
      </c>
      <c r="G32" s="50"/>
      <c r="H32" s="121"/>
      <c r="I32" s="50"/>
      <c r="J32" s="120"/>
      <c r="L32" s="60" t="s">
        <v>37</v>
      </c>
      <c r="M32" s="50"/>
      <c r="N32" s="55">
        <v>0.3</v>
      </c>
      <c r="O32" s="50"/>
      <c r="P32" s="121"/>
      <c r="Q32" s="50"/>
      <c r="R32" s="120"/>
    </row>
    <row r="33" spans="1:18" ht="15" customHeight="1">
      <c r="A33" s="143"/>
      <c r="B33" s="137"/>
      <c r="C33" s="139"/>
      <c r="D33" s="87" t="str">
        <f>+D27</f>
        <v>Presupuesto Oficial</v>
      </c>
      <c r="E33" s="50"/>
      <c r="F33" s="86">
        <f>+F27</f>
        <v>14522214508</v>
      </c>
      <c r="G33" s="50"/>
      <c r="H33" s="121"/>
      <c r="I33" s="50"/>
      <c r="J33" s="120"/>
      <c r="L33" s="87" t="str">
        <f>+L27</f>
        <v>Presupuesto Oficial</v>
      </c>
      <c r="M33" s="50"/>
      <c r="N33" s="86">
        <f>+N27</f>
        <v>14522214508</v>
      </c>
      <c r="O33" s="50"/>
      <c r="P33" s="121"/>
      <c r="Q33" s="50"/>
      <c r="R33" s="120"/>
    </row>
    <row r="34" spans="1:18" ht="25.5">
      <c r="A34" s="143"/>
      <c r="B34" s="137"/>
      <c r="C34" s="139"/>
      <c r="D34" s="101" t="str">
        <f>CONCATENATE("Participación en ",D33)</f>
        <v>Participación en Presupuesto Oficial</v>
      </c>
      <c r="E34" s="50"/>
      <c r="F34" s="66">
        <f>+F32*F33</f>
        <v>10165550155.599998</v>
      </c>
      <c r="G34" s="50"/>
      <c r="H34" s="121"/>
      <c r="I34" s="50"/>
      <c r="J34" s="120"/>
      <c r="L34" s="60" t="str">
        <f>CONCATENATE("Participación en ",L33)</f>
        <v>Participación en Presupuesto Oficial</v>
      </c>
      <c r="M34" s="50"/>
      <c r="N34" s="66">
        <f>+N32*N33</f>
        <v>4356664352.4</v>
      </c>
      <c r="O34" s="50"/>
      <c r="P34" s="121"/>
      <c r="Q34" s="50"/>
      <c r="R34" s="120"/>
    </row>
    <row r="35" spans="1:18" ht="13.5" thickBot="1">
      <c r="A35" s="143"/>
      <c r="B35" s="138"/>
      <c r="C35" s="139"/>
      <c r="D35" s="52" t="s">
        <v>41</v>
      </c>
      <c r="E35" s="50"/>
      <c r="F35" s="54">
        <f>+F9-F11</f>
        <v>6712932000</v>
      </c>
      <c r="G35" s="50"/>
      <c r="H35" s="121"/>
      <c r="I35" s="50"/>
      <c r="J35" s="122"/>
      <c r="L35" s="52" t="s">
        <v>41</v>
      </c>
      <c r="M35" s="50"/>
      <c r="N35" s="54">
        <f>+N9-N11</f>
        <v>19132548895.410004</v>
      </c>
      <c r="O35" s="50"/>
      <c r="P35" s="121"/>
      <c r="Q35" s="50"/>
      <c r="R35" s="122"/>
    </row>
    <row r="36" spans="1:18" ht="13.5" thickBot="1">
      <c r="A36" s="68"/>
      <c r="B36" s="82"/>
      <c r="C36" s="83"/>
      <c r="D36" s="82"/>
      <c r="E36" s="49"/>
      <c r="F36" s="49"/>
      <c r="G36" s="49"/>
      <c r="H36" s="49"/>
      <c r="I36" s="49"/>
      <c r="J36" s="83"/>
      <c r="L36" s="82"/>
      <c r="M36" s="49"/>
      <c r="N36" s="49"/>
      <c r="O36" s="49"/>
      <c r="P36" s="49"/>
      <c r="Q36" s="49"/>
      <c r="R36" s="83"/>
    </row>
    <row r="38" ht="13.5" thickBot="1"/>
    <row r="39" spans="2:8" ht="13.5" thickBot="1">
      <c r="B39" s="123"/>
      <c r="C39" s="124"/>
      <c r="D39" s="124"/>
      <c r="E39" s="124"/>
      <c r="F39" s="124"/>
      <c r="G39" s="124"/>
      <c r="H39" s="125"/>
    </row>
    <row r="40" spans="2:8" ht="13.5" thickBot="1">
      <c r="B40" s="76"/>
      <c r="C40" s="99"/>
      <c r="D40" s="99"/>
      <c r="E40" s="99"/>
      <c r="F40" s="99"/>
      <c r="G40" s="99"/>
      <c r="H40" s="100"/>
    </row>
    <row r="41" spans="2:8" ht="12.75">
      <c r="B41" s="57" t="s">
        <v>25</v>
      </c>
      <c r="C41" s="50"/>
      <c r="D41" s="56">
        <f>+F20+N20</f>
        <v>24406221911.05</v>
      </c>
      <c r="E41" s="50"/>
      <c r="F41" s="126">
        <f>+D41/D42</f>
        <v>1.6296782759410517</v>
      </c>
      <c r="G41" s="50"/>
      <c r="H41" s="127" t="str">
        <f>IF(D41="","",IF(F41&gt;=$A$20,"CUMPLE","NO CUMPLE"))</f>
        <v>CUMPLE</v>
      </c>
    </row>
    <row r="42" spans="2:8" ht="13.5" thickBot="1">
      <c r="B42" s="58" t="s">
        <v>26</v>
      </c>
      <c r="C42" s="50"/>
      <c r="D42" s="72">
        <f>+F21+N21</f>
        <v>14976098209.91</v>
      </c>
      <c r="E42" s="50"/>
      <c r="F42" s="126"/>
      <c r="G42" s="50"/>
      <c r="H42" s="127"/>
    </row>
    <row r="43" spans="2:8" ht="13.5" thickBot="1">
      <c r="B43" s="77"/>
      <c r="C43" s="50"/>
      <c r="D43" s="50"/>
      <c r="E43" s="50"/>
      <c r="F43" s="50"/>
      <c r="G43" s="50"/>
      <c r="H43" s="79"/>
    </row>
    <row r="44" spans="2:8" ht="12.75">
      <c r="B44" s="57" t="s">
        <v>29</v>
      </c>
      <c r="C44" s="50"/>
      <c r="D44" s="56">
        <f>+F23+N23</f>
        <v>27767564547.07</v>
      </c>
      <c r="E44" s="50"/>
      <c r="F44" s="128">
        <f>+D44/D45</f>
        <v>0.5179255220049209</v>
      </c>
      <c r="G44" s="50"/>
      <c r="H44" s="127" t="str">
        <f>IF(D44="","",IF(F44&lt;=$A$23,"CUMPLE","NO CUMPLE"))</f>
        <v>CUMPLE</v>
      </c>
    </row>
    <row r="45" spans="2:8" ht="13.5" thickBot="1">
      <c r="B45" s="58" t="s">
        <v>28</v>
      </c>
      <c r="C45" s="50"/>
      <c r="D45" s="72">
        <f>+F24+N24</f>
        <v>53613045442.48</v>
      </c>
      <c r="E45" s="50"/>
      <c r="F45" s="128"/>
      <c r="G45" s="50"/>
      <c r="H45" s="127"/>
    </row>
    <row r="46" spans="2:8" ht="13.5" thickBot="1">
      <c r="B46" s="77"/>
      <c r="C46" s="50"/>
      <c r="D46" s="50"/>
      <c r="E46" s="50"/>
      <c r="F46" s="50"/>
      <c r="G46" s="50"/>
      <c r="H46" s="79"/>
    </row>
    <row r="47" spans="2:8" ht="12.75">
      <c r="B47" s="59" t="s">
        <v>36</v>
      </c>
      <c r="C47" s="50"/>
      <c r="D47" s="56">
        <f>+F20+N20-F21-N21</f>
        <v>9430123701.14</v>
      </c>
      <c r="E47" s="50"/>
      <c r="F47" s="116">
        <f>+(D47)-(D49*D48)</f>
        <v>6961347234.779999</v>
      </c>
      <c r="G47" s="50"/>
      <c r="H47" s="119" t="str">
        <f>IF(F47&gt;=0,"CUMPLE","NO CUMPLE")</f>
        <v>CUMPLE</v>
      </c>
    </row>
    <row r="48" spans="2:8" ht="12.75">
      <c r="B48" s="84" t="s">
        <v>70</v>
      </c>
      <c r="C48" s="50"/>
      <c r="D48" s="85">
        <f>+C9</f>
        <v>14522214508</v>
      </c>
      <c r="E48" s="50"/>
      <c r="F48" s="117"/>
      <c r="G48" s="50"/>
      <c r="H48" s="120"/>
    </row>
    <row r="49" spans="2:8" ht="13.5" thickBot="1">
      <c r="B49" s="97" t="s">
        <v>40</v>
      </c>
      <c r="C49" s="50"/>
      <c r="D49" s="98">
        <v>0.17</v>
      </c>
      <c r="E49" s="50"/>
      <c r="F49" s="118"/>
      <c r="G49" s="50"/>
      <c r="H49" s="120"/>
    </row>
    <row r="50" spans="2:8" ht="12.75">
      <c r="B50" s="77"/>
      <c r="C50" s="50"/>
      <c r="D50" s="64"/>
      <c r="E50" s="50"/>
      <c r="F50" s="63"/>
      <c r="G50" s="50"/>
      <c r="H50" s="81"/>
    </row>
    <row r="51" spans="2:8" ht="13.5" thickBot="1">
      <c r="B51" s="77"/>
      <c r="C51" s="50"/>
      <c r="D51" s="50"/>
      <c r="E51" s="50"/>
      <c r="F51" s="50"/>
      <c r="G51" s="50"/>
      <c r="H51" s="78"/>
    </row>
    <row r="52" spans="2:8" ht="12.75">
      <c r="B52" s="51" t="s">
        <v>40</v>
      </c>
      <c r="C52" s="50"/>
      <c r="D52" s="65">
        <v>3</v>
      </c>
      <c r="E52" s="50"/>
      <c r="F52" s="121">
        <f>+D52-((D55/D56))</f>
        <v>2.438113975639778</v>
      </c>
      <c r="G52" s="50"/>
      <c r="H52" s="119" t="str">
        <f>IF(F52&gt;=0,"CUMPLE","NO CUMPLE")</f>
        <v>CUMPLE</v>
      </c>
    </row>
    <row r="53" spans="2:8" ht="12.75">
      <c r="B53" s="60" t="s">
        <v>37</v>
      </c>
      <c r="C53" s="50"/>
      <c r="D53" s="55">
        <v>1</v>
      </c>
      <c r="E53" s="50"/>
      <c r="F53" s="121"/>
      <c r="G53" s="50"/>
      <c r="H53" s="120"/>
    </row>
    <row r="54" spans="2:8" ht="12.75">
      <c r="B54" s="87" t="str">
        <f>+B48</f>
        <v>Presupuesto Oficial</v>
      </c>
      <c r="C54" s="50"/>
      <c r="D54" s="86">
        <f>+D48</f>
        <v>14522214508</v>
      </c>
      <c r="E54" s="50"/>
      <c r="F54" s="121"/>
      <c r="G54" s="50"/>
      <c r="H54" s="120"/>
    </row>
    <row r="55" spans="2:8" ht="12.75">
      <c r="B55" s="60" t="str">
        <f>CONCATENATE("Participación en ",B54)</f>
        <v>Participación en Presupuesto Oficial</v>
      </c>
      <c r="C55" s="50"/>
      <c r="D55" s="66">
        <f>+D53*D54</f>
        <v>14522214508</v>
      </c>
      <c r="E55" s="50"/>
      <c r="F55" s="121"/>
      <c r="G55" s="50"/>
      <c r="H55" s="120"/>
    </row>
    <row r="56" spans="2:8" ht="13.5" thickBot="1">
      <c r="B56" s="52" t="s">
        <v>41</v>
      </c>
      <c r="C56" s="50"/>
      <c r="D56" s="54">
        <f>+F35+N35</f>
        <v>25845480895.410004</v>
      </c>
      <c r="E56" s="50"/>
      <c r="F56" s="121"/>
      <c r="G56" s="50"/>
      <c r="H56" s="122"/>
    </row>
    <row r="57" spans="2:8" ht="13.5" thickBot="1">
      <c r="B57" s="82"/>
      <c r="C57" s="49"/>
      <c r="D57" s="49"/>
      <c r="E57" s="49"/>
      <c r="F57" s="49"/>
      <c r="G57" s="49"/>
      <c r="H57" s="83"/>
    </row>
    <row r="94" ht="12.75">
      <c r="C94" t="str">
        <f>VLOOKUP($A$6,COMBINACIONES!$B$4:$D$20,2,0)</f>
        <v>Con anticipo sin restricciones.</v>
      </c>
    </row>
    <row r="95" ht="12.75">
      <c r="C95" t="str">
        <f>VLOOKUP($A$6,COMBINACIONES!$B$4:$D$20,3,0)</f>
        <v>Proveeduría de servicios.</v>
      </c>
    </row>
    <row r="302" ht="12.75">
      <c r="C302" s="69" t="s">
        <v>42</v>
      </c>
    </row>
    <row r="303" ht="12.75">
      <c r="C303" s="69" t="s">
        <v>43</v>
      </c>
    </row>
    <row r="304" spans="3:8" ht="12.75">
      <c r="C304" s="69" t="s">
        <v>49</v>
      </c>
      <c r="D304" t="s">
        <v>51</v>
      </c>
      <c r="F304" t="str">
        <f>+B9</f>
        <v>Presupuesto Oficial</v>
      </c>
      <c r="H304" t="s">
        <v>52</v>
      </c>
    </row>
    <row r="305" spans="3:6" ht="12.75">
      <c r="C305" s="69" t="s">
        <v>53</v>
      </c>
      <c r="D305" t="str">
        <f>+F304</f>
        <v>Presupuesto Oficial</v>
      </c>
      <c r="F305" t="s">
        <v>54</v>
      </c>
    </row>
    <row r="306" spans="3:8" ht="25.5">
      <c r="C306" s="69" t="s">
        <v>48</v>
      </c>
      <c r="D306" t="s">
        <v>55</v>
      </c>
      <c r="F306" t="str">
        <f>+F304</f>
        <v>Presupuesto Oficial</v>
      </c>
      <c r="H306" t="s">
        <v>56</v>
      </c>
    </row>
    <row r="308" ht="12.75" customHeight="1"/>
    <row r="309" ht="12.75">
      <c r="C309" s="71"/>
    </row>
    <row r="310" ht="12.75">
      <c r="C310" s="70"/>
    </row>
    <row r="311" ht="12.75">
      <c r="C311" s="62"/>
    </row>
    <row r="313" ht="12.75" customHeight="1"/>
    <row r="314" ht="12.75">
      <c r="C314" s="71"/>
    </row>
    <row r="315" ht="12.75">
      <c r="C315" s="71"/>
    </row>
    <row r="316" ht="12.75">
      <c r="C316" s="70"/>
    </row>
    <row r="319" ht="12.75" customHeight="1"/>
    <row r="320" ht="12.75">
      <c r="C320" s="70"/>
    </row>
  </sheetData>
  <sheetProtection selectLockedCells="1"/>
  <mergeCells count="48">
    <mergeCell ref="D7:F7"/>
    <mergeCell ref="H7:J7"/>
    <mergeCell ref="L7:N7"/>
    <mergeCell ref="P7:R7"/>
    <mergeCell ref="L5:R5"/>
    <mergeCell ref="A20:A21"/>
    <mergeCell ref="A23:A24"/>
    <mergeCell ref="H26:H28"/>
    <mergeCell ref="D5:J5"/>
    <mergeCell ref="A26:A28"/>
    <mergeCell ref="C31:C35"/>
    <mergeCell ref="B31:B35"/>
    <mergeCell ref="A31:A35"/>
    <mergeCell ref="B26:B28"/>
    <mergeCell ref="C26:C28"/>
    <mergeCell ref="H31:H35"/>
    <mergeCell ref="B6:C6"/>
    <mergeCell ref="D18:J18"/>
    <mergeCell ref="J31:J35"/>
    <mergeCell ref="H20:H21"/>
    <mergeCell ref="J20:J21"/>
    <mergeCell ref="B20:B21"/>
    <mergeCell ref="B23:B24"/>
    <mergeCell ref="H23:H24"/>
    <mergeCell ref="J23:J24"/>
    <mergeCell ref="J26:J28"/>
    <mergeCell ref="C20:C21"/>
    <mergeCell ref="C23:C24"/>
    <mergeCell ref="L18:R18"/>
    <mergeCell ref="P20:P21"/>
    <mergeCell ref="R20:R21"/>
    <mergeCell ref="P23:P24"/>
    <mergeCell ref="R23:R24"/>
    <mergeCell ref="P26:P28"/>
    <mergeCell ref="R26:R28"/>
    <mergeCell ref="P31:P35"/>
    <mergeCell ref="R31:R35"/>
    <mergeCell ref="A2:C2"/>
    <mergeCell ref="A1:C1"/>
    <mergeCell ref="B39:H39"/>
    <mergeCell ref="F41:F42"/>
    <mergeCell ref="H41:H42"/>
    <mergeCell ref="F44:F45"/>
    <mergeCell ref="H44:H45"/>
    <mergeCell ref="F47:F49"/>
    <mergeCell ref="H47:H49"/>
    <mergeCell ref="F52:F56"/>
    <mergeCell ref="H52:H56"/>
  </mergeCells>
  <printOptions/>
  <pageMargins left="0.58" right="0.29" top="0.6299212598425197" bottom="0.54" header="0" footer="0"/>
  <pageSetup horizontalDpi="600" verticalDpi="600" orientation="landscape" scale="7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jcontabilidad</cp:lastModifiedBy>
  <cp:lastPrinted>2009-04-21T21:07:20Z</cp:lastPrinted>
  <dcterms:created xsi:type="dcterms:W3CDTF">2008-12-23T19:33:14Z</dcterms:created>
  <dcterms:modified xsi:type="dcterms:W3CDTF">2009-06-16T21:27:08Z</dcterms:modified>
  <cp:category/>
  <cp:version/>
  <cp:contentType/>
  <cp:contentStatus/>
</cp:coreProperties>
</file>