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COMBINACIONES" sheetId="1" r:id="rId1"/>
    <sheet name="PARAMETROS" sheetId="2" r:id="rId2"/>
    <sheet name="EVALUA-1" sheetId="3" r:id="rId3"/>
    <sheet name="Hoja3" sheetId="4" r:id="rId4"/>
  </sheets>
  <definedNames>
    <definedName name="_xlnm.Print_Area" localSheetId="0">'COMBINACIONES'!$A$1:$J$21</definedName>
    <definedName name="_xlnm.Print_Area" localSheetId="1">'PARAMETROS'!$A$1:$I$39</definedName>
  </definedNames>
  <calcPr fullCalcOnLoad="1"/>
</workbook>
</file>

<file path=xl/sharedStrings.xml><?xml version="1.0" encoding="utf-8"?>
<sst xmlns="http://schemas.openxmlformats.org/spreadsheetml/2006/main" count="188" uniqueCount="77">
  <si>
    <t>Con anticipo sin restricciones.</t>
  </si>
  <si>
    <t>Con anticipo cuenta compartida.</t>
  </si>
  <si>
    <t>Pago contra entrega.</t>
  </si>
  <si>
    <t>Proveeduría de bienes.</t>
  </si>
  <si>
    <t>Proveeduría de servicios.</t>
  </si>
  <si>
    <t>NRO</t>
  </si>
  <si>
    <t>PAGO</t>
  </si>
  <si>
    <t>OBJETO</t>
  </si>
  <si>
    <t>Razon Corriente</t>
  </si>
  <si>
    <t>Endeudamiento</t>
  </si>
  <si>
    <t>Soporte Histórico de Ingresos</t>
  </si>
  <si>
    <t>Soporte con Capital de Trabajo</t>
  </si>
  <si>
    <t>Soporte con Relación Patrimonial</t>
  </si>
  <si>
    <t>CLASE</t>
  </si>
  <si>
    <t>FORMA DE PAGO</t>
  </si>
  <si>
    <t>OBJETO CONTRACTUAL</t>
  </si>
  <si>
    <t>COMBINACION 1 - 4</t>
  </si>
  <si>
    <t>COMBINACION 1 - 5</t>
  </si>
  <si>
    <t>COMBINACION 1 - 6</t>
  </si>
  <si>
    <t>COMBINACION 2 - 4</t>
  </si>
  <si>
    <t>COMBINACION 2 - 5</t>
  </si>
  <si>
    <t>COMBINACION 2 - 6</t>
  </si>
  <si>
    <t>COMBINACION 3 - 4</t>
  </si>
  <si>
    <t>COMBINACION 3 - 5</t>
  </si>
  <si>
    <t>COMBINACION 3 - 6</t>
  </si>
  <si>
    <t>ACTIVO CORRIENTE</t>
  </si>
  <si>
    <t>PASIVO CORRIENTE</t>
  </si>
  <si>
    <t>RAZON CORRIENTE</t>
  </si>
  <si>
    <t>ENDEUDAMIENTO</t>
  </si>
  <si>
    <t>ACTIVO TOTAL</t>
  </si>
  <si>
    <t>PASIVO TOTAL</t>
  </si>
  <si>
    <t xml:space="preserve">Riesgo de 0,6 a 0,8 </t>
  </si>
  <si>
    <t xml:space="preserve">Riesgo de 50% a 10% </t>
  </si>
  <si>
    <t xml:space="preserve">Riesgo de 1,6 a 1,2 </t>
  </si>
  <si>
    <t>COMBINACION NUMERO 1 a 9</t>
  </si>
  <si>
    <t>SOPORTE CON CAPITAL DE TRABAJO  (SCT)</t>
  </si>
  <si>
    <t>SOPORTE CON RELACIÓN PATRIMONIAL (SRP)</t>
  </si>
  <si>
    <t>ACTIVO CTE  -  PASIVO CTE</t>
  </si>
  <si>
    <t>% Participacion</t>
  </si>
  <si>
    <r>
      <t xml:space="preserve">  O</t>
    </r>
    <r>
      <rPr>
        <sz val="7"/>
        <rFont val="Arial"/>
        <family val="0"/>
      </rPr>
      <t xml:space="preserve">ferta / </t>
    </r>
    <r>
      <rPr>
        <sz val="7"/>
        <color indexed="12"/>
        <rFont val="Arial"/>
        <family val="2"/>
      </rPr>
      <t>P</t>
    </r>
    <r>
      <rPr>
        <sz val="7"/>
        <rFont val="Arial"/>
        <family val="0"/>
      </rPr>
      <t>resupuesto</t>
    </r>
  </si>
  <si>
    <t>% Participación</t>
  </si>
  <si>
    <t>Indicador</t>
  </si>
  <si>
    <t>Patrimonio</t>
  </si>
  <si>
    <t xml:space="preserve">Activo corriente / Pasivo corriente &gt;= </t>
  </si>
  <si>
    <t xml:space="preserve">Pasivo total / Activo total  &lt;= </t>
  </si>
  <si>
    <t>PROPONENTE ------&gt;</t>
  </si>
  <si>
    <t xml:space="preserve">Riesgo de 1,0 a 0,2 </t>
  </si>
  <si>
    <t>Duracion Contrato (Meses)</t>
  </si>
  <si>
    <t xml:space="preserve">Riesgo de 1,5 a 1,0 </t>
  </si>
  <si>
    <t xml:space="preserve">( (Ventas netas año 1 + ventas netas año 2)  /  2 ) -  (( 12/Meses Contrato) X </t>
  </si>
  <si>
    <r>
      <t xml:space="preserve">(Activo corriente - Pasivo corriente) - (  </t>
    </r>
  </si>
  <si>
    <t>Adecuación y Remodelación</t>
  </si>
  <si>
    <t xml:space="preserve"> * </t>
  </si>
  <si>
    <t>) = SCT</t>
  </si>
  <si>
    <t xml:space="preserve"> - ((% Participacion X </t>
  </si>
  <si>
    <t>) / Patrimonio ) = SRP</t>
  </si>
  <si>
    <t xml:space="preserve">  X  % Participacion X </t>
  </si>
  <si>
    <t>)   =   S.H.I</t>
  </si>
  <si>
    <t>P</t>
  </si>
  <si>
    <t>BALANCE A DICIEMBRE 31 DE 2008</t>
  </si>
  <si>
    <t>TOTAL PATRIMONIO</t>
  </si>
  <si>
    <t>ESTADOS FINANCIEROS  2008 3 FIRMAS</t>
  </si>
  <si>
    <t>CERTIFIC VIGENTE CONTADOR</t>
  </si>
  <si>
    <t>CONVOCATORIA PUBLICA No.008 DE 2009</t>
  </si>
  <si>
    <t>TECTUS LTDA</t>
  </si>
  <si>
    <t>ESTADOS FINANCIEROS  2008 2 FIRMAS</t>
  </si>
  <si>
    <t xml:space="preserve">ESTADOS FINANCIEROS  2007 </t>
  </si>
  <si>
    <t>JOSE ALIRIO PULIDO C.</t>
  </si>
  <si>
    <t>JORGE EDGAR ALFONSO PARDO CASTRO</t>
  </si>
  <si>
    <t>RODOLFO DE JESUS ULLOA VERGARA</t>
  </si>
  <si>
    <t>OSWALDO ESCOBAR MURIEL</t>
  </si>
  <si>
    <t>UNION TEMPORAL BIBLIOTECA DE PAIBA</t>
  </si>
  <si>
    <t>GLORIA CLEMENCIA ALVAREZ</t>
  </si>
  <si>
    <t>GUSTAVO MURILLO SALSAÑA</t>
  </si>
  <si>
    <t>LUCIA MURILLO SALADAÑA</t>
  </si>
  <si>
    <t>OBSERVACIONES:</t>
  </si>
  <si>
    <t>ESTADOS FINANCIEROS  2007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</si>
</sst>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[$-C0A]dddd\,\ dd&quot; de &quot;mmmm&quot; de &quot;yyyy"/>
    <numFmt numFmtId="192" formatCode="dd\-mm\-yy;@"/>
    <numFmt numFmtId="193" formatCode="[$-C0A]d\-mmm\-yy;@"/>
    <numFmt numFmtId="194" formatCode="[$-C0A]d\ &quot;de&quot;\ mmmm\ &quot;de&quot;\ yyyy;@"/>
    <numFmt numFmtId="195" formatCode="[$-240A]dddd\,\ dd&quot; de &quot;mmmm&quot; de &quot;yyyy"/>
    <numFmt numFmtId="196" formatCode="dd/mmm/yyyy"/>
  </numFmts>
  <fonts count="14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Verdana"/>
      <family val="2"/>
    </font>
    <font>
      <b/>
      <sz val="11"/>
      <color indexed="8"/>
      <name val="Arial Narrow"/>
      <family val="2"/>
    </font>
    <font>
      <b/>
      <sz val="14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9" fontId="1" fillId="0" borderId="1" xfId="19" applyFont="1" applyBorder="1" applyAlignment="1">
      <alignment horizontal="center" vertical="center" wrapText="1"/>
    </xf>
    <xf numFmtId="9" fontId="1" fillId="0" borderId="0" xfId="19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3" fontId="0" fillId="4" borderId="19" xfId="0" applyNumberFormat="1" applyFill="1" applyBorder="1" applyAlignment="1">
      <alignment/>
    </xf>
    <xf numFmtId="9" fontId="0" fillId="4" borderId="21" xfId="0" applyNumberFormat="1" applyFill="1" applyBorder="1" applyAlignment="1">
      <alignment/>
    </xf>
    <xf numFmtId="3" fontId="0" fillId="4" borderId="18" xfId="0" applyNumberFormat="1" applyFill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176" fontId="0" fillId="4" borderId="18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0" fontId="9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0" fillId="4" borderId="19" xfId="0" applyNumberForma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3" fontId="0" fillId="0" borderId="25" xfId="0" applyNumberFormat="1" applyBorder="1" applyAlignment="1">
      <alignment/>
    </xf>
    <xf numFmtId="3" fontId="0" fillId="4" borderId="25" xfId="19" applyNumberFormat="1" applyFill="1" applyBorder="1" applyAlignment="1">
      <alignment/>
    </xf>
    <xf numFmtId="3" fontId="0" fillId="4" borderId="21" xfId="19" applyNumberFormat="1" applyFill="1" applyBorder="1" applyAlignment="1">
      <alignment/>
    </xf>
    <xf numFmtId="3" fontId="0" fillId="0" borderId="21" xfId="0" applyNumberFormat="1" applyBorder="1" applyAlignment="1">
      <alignment/>
    </xf>
    <xf numFmtId="0" fontId="5" fillId="5" borderId="2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/>
    </xf>
    <xf numFmtId="2" fontId="1" fillId="0" borderId="0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9" fontId="0" fillId="4" borderId="19" xfId="19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1" xfId="0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3" fontId="5" fillId="6" borderId="1" xfId="0" applyNumberFormat="1" applyFont="1" applyFill="1" applyBorder="1" applyAlignment="1" applyProtection="1">
      <alignment/>
      <protection/>
    </xf>
    <xf numFmtId="0" fontId="0" fillId="7" borderId="14" xfId="0" applyFill="1" applyBorder="1" applyAlignment="1">
      <alignment horizontal="center"/>
    </xf>
    <xf numFmtId="0" fontId="10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5" borderId="26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9" fontId="0" fillId="5" borderId="12" xfId="19" applyFill="1" applyBorder="1" applyAlignment="1" applyProtection="1">
      <alignment/>
      <protection locked="0"/>
    </xf>
    <xf numFmtId="0" fontId="8" fillId="0" borderId="14" xfId="0" applyFont="1" applyBorder="1" applyAlignment="1">
      <alignment/>
    </xf>
    <xf numFmtId="9" fontId="0" fillId="5" borderId="13" xfId="19" applyFill="1" applyBorder="1" applyAlignment="1" applyProtection="1">
      <alignment/>
      <protection locked="0"/>
    </xf>
    <xf numFmtId="196" fontId="0" fillId="5" borderId="13" xfId="19" applyNumberFormat="1" applyFont="1" applyFill="1" applyBorder="1" applyAlignment="1" applyProtection="1">
      <alignment/>
      <protection locked="0"/>
    </xf>
    <xf numFmtId="9" fontId="0" fillId="0" borderId="6" xfId="19" applyFill="1" applyBorder="1" applyAlignment="1" applyProtection="1">
      <alignment/>
      <protection locked="0"/>
    </xf>
    <xf numFmtId="3" fontId="0" fillId="5" borderId="13" xfId="0" applyNumberFormat="1" applyFill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Fill="1" applyBorder="1" applyAlignment="1" applyProtection="1">
      <alignment/>
      <protection locked="0"/>
    </xf>
    <xf numFmtId="4" fontId="0" fillId="5" borderId="13" xfId="0" applyNumberFormat="1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180" fontId="0" fillId="0" borderId="1" xfId="0" applyNumberForma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5" fillId="8" borderId="33" xfId="0" applyFont="1" applyFill="1" applyBorder="1" applyAlignment="1" applyProtection="1">
      <alignment horizontal="center"/>
      <protection locked="0"/>
    </xf>
    <xf numFmtId="0" fontId="5" fillId="8" borderId="34" xfId="0" applyFont="1" applyFill="1" applyBorder="1" applyAlignment="1" applyProtection="1">
      <alignment horizontal="center"/>
      <protection locked="0"/>
    </xf>
    <xf numFmtId="0" fontId="5" fillId="8" borderId="35" xfId="0" applyFont="1" applyFill="1" applyBorder="1" applyAlignment="1" applyProtection="1">
      <alignment horizontal="center"/>
      <protection locked="0"/>
    </xf>
    <xf numFmtId="176" fontId="0" fillId="0" borderId="1" xfId="0" applyNumberFormat="1" applyBorder="1" applyAlignment="1">
      <alignment horizontal="center" vertical="center" wrapText="1"/>
    </xf>
    <xf numFmtId="0" fontId="5" fillId="5" borderId="33" xfId="0" applyFont="1" applyFill="1" applyBorder="1" applyAlignment="1" applyProtection="1">
      <alignment horizontal="center"/>
      <protection locked="0"/>
    </xf>
    <xf numFmtId="0" fontId="5" fillId="5" borderId="34" xfId="0" applyFont="1" applyFill="1" applyBorder="1" applyAlignment="1" applyProtection="1">
      <alignment horizontal="center"/>
      <protection locked="0"/>
    </xf>
    <xf numFmtId="0" fontId="5" fillId="5" borderId="35" xfId="0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176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9" fontId="9" fillId="3" borderId="0" xfId="0" applyNumberFormat="1" applyFont="1" applyFill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9" fontId="9" fillId="3" borderId="0" xfId="19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4">
      <selection activeCell="C16" sqref="C16"/>
    </sheetView>
  </sheetViews>
  <sheetFormatPr defaultColWidth="11.421875" defaultRowHeight="12.75"/>
  <cols>
    <col min="1" max="1" width="2.421875" style="1" customWidth="1"/>
    <col min="2" max="2" width="7.57421875" style="2" customWidth="1"/>
    <col min="3" max="3" width="31.421875" style="1" customWidth="1"/>
    <col min="4" max="4" width="32.7109375" style="1" customWidth="1"/>
    <col min="5" max="5" width="13.421875" style="1" customWidth="1"/>
    <col min="6" max="6" width="16.28125" style="1" customWidth="1"/>
    <col min="7" max="7" width="14.28125" style="1" customWidth="1"/>
    <col min="8" max="8" width="14.57421875" style="1" customWidth="1"/>
    <col min="9" max="9" width="13.7109375" style="1" customWidth="1"/>
    <col min="10" max="10" width="2.140625" style="1" customWidth="1"/>
    <col min="11" max="16384" width="11.421875" style="1" customWidth="1"/>
  </cols>
  <sheetData>
    <row r="1" spans="1:10" ht="12" thickBot="1">
      <c r="A1" s="5"/>
      <c r="B1" s="6"/>
      <c r="C1" s="7"/>
      <c r="D1" s="7"/>
      <c r="E1" s="7"/>
      <c r="F1" s="7"/>
      <c r="G1" s="7"/>
      <c r="H1" s="7"/>
      <c r="I1" s="7"/>
      <c r="J1" s="8"/>
    </row>
    <row r="2" spans="1:10" ht="33.75">
      <c r="A2" s="9"/>
      <c r="B2" s="3" t="s">
        <v>5</v>
      </c>
      <c r="C2" s="3" t="s">
        <v>6</v>
      </c>
      <c r="D2" s="3" t="s">
        <v>7</v>
      </c>
      <c r="E2" s="91" t="s">
        <v>8</v>
      </c>
      <c r="F2" s="91" t="s">
        <v>9</v>
      </c>
      <c r="G2" s="22" t="s">
        <v>11</v>
      </c>
      <c r="H2" s="22" t="s">
        <v>12</v>
      </c>
      <c r="I2" s="23" t="s">
        <v>10</v>
      </c>
      <c r="J2" s="10"/>
    </row>
    <row r="3" spans="1:10" ht="11.25">
      <c r="A3" s="9"/>
      <c r="B3" s="11"/>
      <c r="C3" s="12"/>
      <c r="D3" s="12"/>
      <c r="E3" s="12"/>
      <c r="F3" s="12"/>
      <c r="G3" s="12"/>
      <c r="H3" s="12"/>
      <c r="I3" s="12"/>
      <c r="J3" s="10"/>
    </row>
    <row r="4" spans="1:10" ht="11.25">
      <c r="A4" s="9"/>
      <c r="B4" s="3">
        <v>1</v>
      </c>
      <c r="C4" s="4" t="s">
        <v>0</v>
      </c>
      <c r="D4" s="4" t="s">
        <v>51</v>
      </c>
      <c r="E4" s="30">
        <f>+PARAMETROS!D22</f>
        <v>1.5</v>
      </c>
      <c r="F4" s="46">
        <f>+PARAMETROS!E22</f>
        <v>0.65</v>
      </c>
      <c r="G4" s="43">
        <f>+PARAMETROS!F22</f>
        <v>0.5</v>
      </c>
      <c r="H4" s="30">
        <f>+PARAMETROS!G22</f>
        <v>1.4</v>
      </c>
      <c r="I4" s="30">
        <f>+PARAMETROS!H22</f>
        <v>1</v>
      </c>
      <c r="J4" s="10"/>
    </row>
    <row r="5" spans="1:10" ht="11.25">
      <c r="A5" s="9"/>
      <c r="B5" s="11"/>
      <c r="C5" s="12"/>
      <c r="D5" s="12"/>
      <c r="E5" s="31"/>
      <c r="F5" s="48"/>
      <c r="G5" s="44"/>
      <c r="H5" s="31"/>
      <c r="I5" s="31"/>
      <c r="J5" s="10"/>
    </row>
    <row r="6" spans="1:10" ht="11.25">
      <c r="A6" s="9"/>
      <c r="B6" s="3">
        <f>+B4+1</f>
        <v>2</v>
      </c>
      <c r="C6" s="4" t="s">
        <v>1</v>
      </c>
      <c r="D6" s="4" t="s">
        <v>51</v>
      </c>
      <c r="E6" s="30">
        <f>+PARAMETROS!D24</f>
        <v>1.4</v>
      </c>
      <c r="F6" s="46">
        <f>+PARAMETROS!E24</f>
        <v>0.7</v>
      </c>
      <c r="G6" s="43">
        <f>+PARAMETROS!F24</f>
        <v>0.4</v>
      </c>
      <c r="H6" s="30">
        <f>+PARAMETROS!G24</f>
        <v>1.3</v>
      </c>
      <c r="I6" s="30">
        <f>+PARAMETROS!H24</f>
        <v>0.8</v>
      </c>
      <c r="J6" s="10"/>
    </row>
    <row r="7" spans="1:10" ht="11.25">
      <c r="A7" s="9"/>
      <c r="B7" s="11"/>
      <c r="C7" s="12"/>
      <c r="D7" s="12"/>
      <c r="E7" s="31"/>
      <c r="F7" s="48"/>
      <c r="G7" s="44"/>
      <c r="H7" s="31"/>
      <c r="I7" s="31"/>
      <c r="J7" s="10"/>
    </row>
    <row r="8" spans="1:10" ht="11.25">
      <c r="A8" s="9"/>
      <c r="B8" s="3">
        <f>+B6+1</f>
        <v>3</v>
      </c>
      <c r="C8" s="4" t="s">
        <v>2</v>
      </c>
      <c r="D8" s="4" t="s">
        <v>51</v>
      </c>
      <c r="E8" s="30">
        <f>+PARAMETROS!D26</f>
        <v>1.3</v>
      </c>
      <c r="F8" s="46">
        <f>+PARAMETROS!E26</f>
        <v>0.75</v>
      </c>
      <c r="G8" s="43">
        <f>+PARAMETROS!F26</f>
        <v>0.3</v>
      </c>
      <c r="H8" s="30">
        <f>+PARAMETROS!G26</f>
        <v>1.3</v>
      </c>
      <c r="I8" s="30">
        <f>+PARAMETROS!H26</f>
        <v>0.6</v>
      </c>
      <c r="J8" s="10"/>
    </row>
    <row r="9" spans="1:10" ht="11.25">
      <c r="A9" s="9"/>
      <c r="B9" s="11"/>
      <c r="C9" s="12"/>
      <c r="D9" s="12"/>
      <c r="E9" s="31"/>
      <c r="F9" s="48"/>
      <c r="G9" s="44"/>
      <c r="H9" s="31"/>
      <c r="I9" s="31"/>
      <c r="J9" s="10"/>
    </row>
    <row r="10" spans="1:10" ht="11.25">
      <c r="A10" s="9"/>
      <c r="B10" s="3">
        <v>4</v>
      </c>
      <c r="C10" s="4" t="s">
        <v>0</v>
      </c>
      <c r="D10" s="4" t="s">
        <v>3</v>
      </c>
      <c r="E10" s="30">
        <f>+PARAMETROS!D28</f>
        <v>1.6</v>
      </c>
      <c r="F10" s="46">
        <f>+PARAMETROS!E28</f>
        <v>0.6</v>
      </c>
      <c r="G10" s="43">
        <f>+PARAMETROS!F28</f>
        <v>0.5</v>
      </c>
      <c r="H10" s="30">
        <f>+PARAMETROS!G28</f>
        <v>1.5</v>
      </c>
      <c r="I10" s="30">
        <f>+PARAMETROS!H28</f>
        <v>0.6</v>
      </c>
      <c r="J10" s="10"/>
    </row>
    <row r="11" spans="1:10" ht="11.25">
      <c r="A11" s="9"/>
      <c r="B11" s="11"/>
      <c r="C11" s="12"/>
      <c r="D11" s="12"/>
      <c r="E11" s="31"/>
      <c r="F11" s="48"/>
      <c r="G11" s="44"/>
      <c r="H11" s="31"/>
      <c r="I11" s="31"/>
      <c r="J11" s="10"/>
    </row>
    <row r="12" spans="1:10" ht="11.25">
      <c r="A12" s="9"/>
      <c r="B12" s="3">
        <v>5</v>
      </c>
      <c r="C12" s="4" t="s">
        <v>1</v>
      </c>
      <c r="D12" s="4" t="s">
        <v>3</v>
      </c>
      <c r="E12" s="30">
        <f>+PARAMETROS!D30</f>
        <v>1.5</v>
      </c>
      <c r="F12" s="46">
        <f>+PARAMETROS!E30</f>
        <v>0.65</v>
      </c>
      <c r="G12" s="43">
        <f>+PARAMETROS!F30</f>
        <v>0.4</v>
      </c>
      <c r="H12" s="30">
        <f>+PARAMETROS!G30</f>
        <v>1.4</v>
      </c>
      <c r="I12" s="30">
        <f>+PARAMETROS!H30</f>
        <v>0.4</v>
      </c>
      <c r="J12" s="10"/>
    </row>
    <row r="13" spans="1:10" ht="11.25">
      <c r="A13" s="9"/>
      <c r="B13" s="11"/>
      <c r="C13" s="12"/>
      <c r="D13" s="12"/>
      <c r="E13" s="31"/>
      <c r="F13" s="48"/>
      <c r="G13" s="44"/>
      <c r="H13" s="31"/>
      <c r="I13" s="31"/>
      <c r="J13" s="10"/>
    </row>
    <row r="14" spans="1:10" ht="11.25">
      <c r="A14" s="9"/>
      <c r="B14" s="3">
        <v>6</v>
      </c>
      <c r="C14" s="4" t="s">
        <v>2</v>
      </c>
      <c r="D14" s="4" t="s">
        <v>3</v>
      </c>
      <c r="E14" s="30">
        <f>+PARAMETROS!D32</f>
        <v>1.4</v>
      </c>
      <c r="F14" s="46">
        <f>+PARAMETROS!E32</f>
        <v>0.7</v>
      </c>
      <c r="G14" s="43">
        <f>+PARAMETROS!F32</f>
        <v>0.3</v>
      </c>
      <c r="H14" s="30">
        <f>+PARAMETROS!G32</f>
        <v>1.4</v>
      </c>
      <c r="I14" s="30">
        <f>+PARAMETROS!H32</f>
        <v>0.2</v>
      </c>
      <c r="J14" s="10"/>
    </row>
    <row r="15" spans="1:10" ht="11.25">
      <c r="A15" s="9"/>
      <c r="B15" s="11"/>
      <c r="C15" s="12"/>
      <c r="D15" s="12"/>
      <c r="E15" s="31"/>
      <c r="F15" s="48"/>
      <c r="G15" s="44"/>
      <c r="H15" s="31"/>
      <c r="I15" s="31"/>
      <c r="J15" s="10"/>
    </row>
    <row r="16" spans="1:10" ht="11.25">
      <c r="A16" s="9"/>
      <c r="B16" s="3">
        <f>+B14+1</f>
        <v>7</v>
      </c>
      <c r="C16" s="4" t="s">
        <v>0</v>
      </c>
      <c r="D16" s="4" t="s">
        <v>4</v>
      </c>
      <c r="E16" s="30">
        <f>+PARAMETROS!D34</f>
        <v>1.4</v>
      </c>
      <c r="F16" s="46">
        <f>+PARAMETROS!E34</f>
        <v>0.7</v>
      </c>
      <c r="G16" s="43">
        <f>+PARAMETROS!F34</f>
        <v>0.4</v>
      </c>
      <c r="H16" s="30">
        <f>+PARAMETROS!G34</f>
        <v>1.3</v>
      </c>
      <c r="I16" s="30">
        <f>+PARAMETROS!H34</f>
        <v>0.6</v>
      </c>
      <c r="J16" s="10"/>
    </row>
    <row r="17" spans="1:10" ht="11.25">
      <c r="A17" s="9"/>
      <c r="B17" s="11"/>
      <c r="C17" s="12"/>
      <c r="D17" s="12"/>
      <c r="E17" s="31"/>
      <c r="F17" s="48"/>
      <c r="G17" s="44"/>
      <c r="H17" s="31"/>
      <c r="I17" s="31"/>
      <c r="J17" s="10"/>
    </row>
    <row r="18" spans="1:10" ht="11.25">
      <c r="A18" s="9"/>
      <c r="B18" s="3">
        <f>+B16+1</f>
        <v>8</v>
      </c>
      <c r="C18" s="4" t="s">
        <v>1</v>
      </c>
      <c r="D18" s="4" t="s">
        <v>4</v>
      </c>
      <c r="E18" s="30">
        <f>+PARAMETROS!D36</f>
        <v>1.3</v>
      </c>
      <c r="F18" s="46">
        <f>+PARAMETROS!E36</f>
        <v>0.75</v>
      </c>
      <c r="G18" s="43">
        <f>+PARAMETROS!F36</f>
        <v>0.3</v>
      </c>
      <c r="H18" s="30">
        <f>+PARAMETROS!G36</f>
        <v>1.2</v>
      </c>
      <c r="I18" s="30">
        <f>+PARAMETROS!H36</f>
        <v>0.4</v>
      </c>
      <c r="J18" s="10"/>
    </row>
    <row r="19" spans="1:10" ht="11.25">
      <c r="A19" s="9"/>
      <c r="B19" s="11"/>
      <c r="C19" s="12"/>
      <c r="D19" s="12"/>
      <c r="E19" s="31"/>
      <c r="F19" s="48"/>
      <c r="G19" s="44"/>
      <c r="H19" s="31"/>
      <c r="I19" s="31"/>
      <c r="J19" s="10"/>
    </row>
    <row r="20" spans="1:10" ht="11.25">
      <c r="A20" s="9"/>
      <c r="B20" s="3">
        <v>9</v>
      </c>
      <c r="C20" s="4" t="s">
        <v>2</v>
      </c>
      <c r="D20" s="4" t="s">
        <v>4</v>
      </c>
      <c r="E20" s="30">
        <f>+PARAMETROS!D38</f>
        <v>1.2</v>
      </c>
      <c r="F20" s="46">
        <f>+PARAMETROS!E38</f>
        <v>0.8</v>
      </c>
      <c r="G20" s="43">
        <f>+PARAMETROS!F38</f>
        <v>0.2</v>
      </c>
      <c r="H20" s="30">
        <f>+PARAMETROS!G38</f>
        <v>1.1</v>
      </c>
      <c r="I20" s="30">
        <f>+PARAMETROS!H38</f>
        <v>0.2</v>
      </c>
      <c r="J20" s="10"/>
    </row>
    <row r="21" spans="1:10" ht="12" thickBot="1">
      <c r="A21" s="13"/>
      <c r="B21" s="14"/>
      <c r="C21" s="15"/>
      <c r="D21" s="15"/>
      <c r="E21" s="15"/>
      <c r="F21" s="15"/>
      <c r="G21" s="15"/>
      <c r="H21" s="15"/>
      <c r="I21" s="15"/>
      <c r="J21" s="16"/>
    </row>
  </sheetData>
  <printOptions/>
  <pageMargins left="0.75" right="0.75" top="1" bottom="1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xSplit="3" ySplit="2" topLeftCell="D27" activePane="bottomRight" state="frozen"/>
      <selection pane="topLeft" activeCell="H4" sqref="H4"/>
      <selection pane="topRight" activeCell="H4" sqref="H4"/>
      <selection pane="bottomLeft" activeCell="H4" sqref="H4"/>
      <selection pane="bottomRight" activeCell="C10" sqref="C10"/>
    </sheetView>
  </sheetViews>
  <sheetFormatPr defaultColWidth="11.421875" defaultRowHeight="12.75"/>
  <cols>
    <col min="1" max="1" width="2.421875" style="1" customWidth="1"/>
    <col min="2" max="2" width="5.57421875" style="2" customWidth="1"/>
    <col min="3" max="3" width="30.421875" style="1" bestFit="1" customWidth="1"/>
    <col min="4" max="4" width="15.8515625" style="1" bestFit="1" customWidth="1"/>
    <col min="5" max="5" width="16.00390625" style="1" customWidth="1"/>
    <col min="6" max="6" width="14.7109375" style="1" customWidth="1"/>
    <col min="7" max="7" width="14.57421875" style="1" customWidth="1"/>
    <col min="8" max="8" width="14.421875" style="1" customWidth="1"/>
    <col min="9" max="9" width="2.57421875" style="1" customWidth="1"/>
    <col min="10" max="16384" width="11.421875" style="1" customWidth="1"/>
  </cols>
  <sheetData>
    <row r="1" spans="1:9" ht="12" thickBot="1">
      <c r="A1" s="5"/>
      <c r="B1" s="6"/>
      <c r="C1" s="7"/>
      <c r="D1" s="7"/>
      <c r="E1" s="7"/>
      <c r="F1" s="7"/>
      <c r="G1" s="7"/>
      <c r="H1" s="7"/>
      <c r="I1" s="8"/>
    </row>
    <row r="2" spans="1:9" ht="33.75">
      <c r="A2" s="9"/>
      <c r="B2" s="19" t="s">
        <v>5</v>
      </c>
      <c r="C2" s="20" t="s">
        <v>13</v>
      </c>
      <c r="D2" s="21" t="s">
        <v>8</v>
      </c>
      <c r="E2" s="21" t="s">
        <v>9</v>
      </c>
      <c r="F2" s="22" t="s">
        <v>11</v>
      </c>
      <c r="G2" s="22" t="s">
        <v>12</v>
      </c>
      <c r="H2" s="23" t="s">
        <v>10</v>
      </c>
      <c r="I2" s="10"/>
    </row>
    <row r="3" spans="1:9" ht="11.25">
      <c r="A3" s="9"/>
      <c r="B3" s="24"/>
      <c r="C3" s="12"/>
      <c r="D3" s="12"/>
      <c r="E3" s="12"/>
      <c r="F3" s="12"/>
      <c r="G3" s="12"/>
      <c r="H3" s="10"/>
      <c r="I3" s="10"/>
    </row>
    <row r="4" spans="1:9" ht="22.5">
      <c r="A4" s="9"/>
      <c r="B4" s="24"/>
      <c r="C4" s="3" t="s">
        <v>14</v>
      </c>
      <c r="D4" s="3" t="s">
        <v>33</v>
      </c>
      <c r="E4" s="3" t="s">
        <v>31</v>
      </c>
      <c r="F4" s="3" t="s">
        <v>32</v>
      </c>
      <c r="G4" s="3" t="s">
        <v>48</v>
      </c>
      <c r="H4" s="25" t="s">
        <v>46</v>
      </c>
      <c r="I4" s="10"/>
    </row>
    <row r="5" spans="1:9" ht="11.25">
      <c r="A5" s="9"/>
      <c r="B5" s="24"/>
      <c r="C5" s="12"/>
      <c r="D5" s="12"/>
      <c r="E5" s="12"/>
      <c r="F5" s="12"/>
      <c r="G5" s="12"/>
      <c r="H5" s="10"/>
      <c r="I5" s="10"/>
    </row>
    <row r="6" spans="1:9" ht="11.25">
      <c r="A6" s="9"/>
      <c r="B6" s="26">
        <v>1</v>
      </c>
      <c r="C6" s="4" t="s">
        <v>0</v>
      </c>
      <c r="D6" s="46">
        <v>1.6</v>
      </c>
      <c r="E6" s="46">
        <v>0.6</v>
      </c>
      <c r="F6" s="18">
        <v>0.5</v>
      </c>
      <c r="G6" s="46">
        <v>1.5</v>
      </c>
      <c r="H6" s="87">
        <v>1</v>
      </c>
      <c r="I6" s="10"/>
    </row>
    <row r="7" spans="1:9" ht="11.25">
      <c r="A7" s="9"/>
      <c r="B7" s="24"/>
      <c r="C7" s="12"/>
      <c r="D7" s="86"/>
      <c r="E7" s="86"/>
      <c r="F7" s="17"/>
      <c r="G7" s="46"/>
      <c r="H7" s="88"/>
      <c r="I7" s="10"/>
    </row>
    <row r="8" spans="1:9" ht="11.25">
      <c r="A8" s="9"/>
      <c r="B8" s="26">
        <f>+B6+1</f>
        <v>2</v>
      </c>
      <c r="C8" s="4" t="s">
        <v>1</v>
      </c>
      <c r="D8" s="46">
        <v>1.4</v>
      </c>
      <c r="E8" s="46">
        <v>0.7</v>
      </c>
      <c r="F8" s="18">
        <v>0.3</v>
      </c>
      <c r="G8" s="46">
        <v>1.3</v>
      </c>
      <c r="H8" s="87">
        <v>0.5</v>
      </c>
      <c r="I8" s="10"/>
    </row>
    <row r="9" spans="1:9" ht="11.25">
      <c r="A9" s="9"/>
      <c r="B9" s="24"/>
      <c r="C9" s="12"/>
      <c r="D9" s="48"/>
      <c r="E9" s="48"/>
      <c r="F9" s="17"/>
      <c r="G9" s="46"/>
      <c r="H9" s="88"/>
      <c r="I9" s="10"/>
    </row>
    <row r="10" spans="1:9" ht="11.25">
      <c r="A10" s="9"/>
      <c r="B10" s="26">
        <f>+B8+1</f>
        <v>3</v>
      </c>
      <c r="C10" s="4" t="s">
        <v>2</v>
      </c>
      <c r="D10" s="46">
        <v>1.2</v>
      </c>
      <c r="E10" s="46">
        <v>0.8</v>
      </c>
      <c r="F10" s="18">
        <v>0.1</v>
      </c>
      <c r="G10" s="46">
        <v>1.2</v>
      </c>
      <c r="H10" s="87">
        <v>0.2</v>
      </c>
      <c r="I10" s="10"/>
    </row>
    <row r="11" spans="1:9" ht="11.25">
      <c r="A11" s="9"/>
      <c r="B11" s="24"/>
      <c r="C11" s="12"/>
      <c r="D11" s="86"/>
      <c r="E11" s="86"/>
      <c r="F11" s="17"/>
      <c r="G11" s="48"/>
      <c r="H11" s="88"/>
      <c r="I11" s="10"/>
    </row>
    <row r="12" spans="1:9" ht="22.5" customHeight="1">
      <c r="A12" s="9"/>
      <c r="B12" s="26"/>
      <c r="C12" s="3" t="s">
        <v>15</v>
      </c>
      <c r="D12" s="86"/>
      <c r="E12" s="86"/>
      <c r="F12" s="17"/>
      <c r="G12" s="48"/>
      <c r="H12" s="88"/>
      <c r="I12" s="10"/>
    </row>
    <row r="13" spans="1:9" ht="11.25">
      <c r="A13" s="9"/>
      <c r="B13" s="24"/>
      <c r="C13" s="12"/>
      <c r="D13" s="86"/>
      <c r="E13" s="86"/>
      <c r="F13" s="17"/>
      <c r="G13" s="48"/>
      <c r="H13" s="88"/>
      <c r="I13" s="10"/>
    </row>
    <row r="14" spans="1:9" ht="11.25">
      <c r="A14" s="9"/>
      <c r="B14" s="26">
        <v>4</v>
      </c>
      <c r="C14" s="4" t="s">
        <v>51</v>
      </c>
      <c r="D14" s="46">
        <v>1.4</v>
      </c>
      <c r="E14" s="46">
        <v>0.7</v>
      </c>
      <c r="F14" s="18">
        <v>0.5</v>
      </c>
      <c r="G14" s="46">
        <v>1.3</v>
      </c>
      <c r="H14" s="87">
        <v>1</v>
      </c>
      <c r="I14" s="10"/>
    </row>
    <row r="15" spans="1:9" ht="11.25">
      <c r="A15" s="9"/>
      <c r="B15" s="24"/>
      <c r="C15" s="12"/>
      <c r="D15" s="48"/>
      <c r="E15" s="48"/>
      <c r="F15" s="17"/>
      <c r="G15" s="48"/>
      <c r="H15" s="88"/>
      <c r="I15" s="10"/>
    </row>
    <row r="16" spans="1:9" ht="11.25">
      <c r="A16" s="9"/>
      <c r="B16" s="26">
        <v>5</v>
      </c>
      <c r="C16" s="4" t="s">
        <v>3</v>
      </c>
      <c r="D16" s="46">
        <v>1.6</v>
      </c>
      <c r="E16" s="46">
        <v>0.6</v>
      </c>
      <c r="F16" s="18">
        <v>0.5</v>
      </c>
      <c r="G16" s="46">
        <v>1.5</v>
      </c>
      <c r="H16" s="87">
        <v>0.2</v>
      </c>
      <c r="I16" s="10"/>
    </row>
    <row r="17" spans="1:9" ht="11.25">
      <c r="A17" s="9"/>
      <c r="B17" s="24"/>
      <c r="C17" s="12"/>
      <c r="D17" s="48"/>
      <c r="E17" s="48"/>
      <c r="F17" s="17"/>
      <c r="G17" s="48"/>
      <c r="H17" s="88"/>
      <c r="I17" s="10"/>
    </row>
    <row r="18" spans="1:9" ht="12" thickBot="1">
      <c r="A18" s="9"/>
      <c r="B18" s="27">
        <v>6</v>
      </c>
      <c r="C18" s="28" t="s">
        <v>4</v>
      </c>
      <c r="D18" s="47">
        <v>1.2</v>
      </c>
      <c r="E18" s="47">
        <v>0.8</v>
      </c>
      <c r="F18" s="29">
        <v>0.3</v>
      </c>
      <c r="G18" s="47">
        <v>1</v>
      </c>
      <c r="H18" s="89">
        <v>0.2</v>
      </c>
      <c r="I18" s="10"/>
    </row>
    <row r="19" spans="1:9" ht="12" thickBot="1">
      <c r="A19" s="13"/>
      <c r="B19" s="14"/>
      <c r="C19" s="15"/>
      <c r="D19" s="15"/>
      <c r="E19" s="15"/>
      <c r="F19" s="15"/>
      <c r="G19" s="15"/>
      <c r="H19" s="15"/>
      <c r="I19" s="16"/>
    </row>
    <row r="20" spans="2:3" s="12" customFormat="1" ht="11.25">
      <c r="B20" s="11"/>
      <c r="C20" s="11"/>
    </row>
    <row r="21" s="12" customFormat="1" ht="12" thickBot="1">
      <c r="B21" s="11"/>
    </row>
    <row r="22" spans="2:8" s="12" customFormat="1" ht="11.25">
      <c r="B22" s="11"/>
      <c r="C22" s="35" t="s">
        <v>16</v>
      </c>
      <c r="D22" s="36">
        <f>+ROUND((D$6+D14)/2,1)</f>
        <v>1.5</v>
      </c>
      <c r="E22" s="45">
        <f>+ROUND((E$6+E14)/2,2)</f>
        <v>0.65</v>
      </c>
      <c r="F22" s="90">
        <f>+ROUND((F$6+F14)/2,2)</f>
        <v>0.5</v>
      </c>
      <c r="G22" s="36">
        <f>+ROUND((G$6+G14)/2,1)</f>
        <v>1.4</v>
      </c>
      <c r="H22" s="37">
        <f>+ROUND((H$6+H14)/2,1)</f>
        <v>1</v>
      </c>
    </row>
    <row r="23" spans="2:8" s="12" customFormat="1" ht="11.25">
      <c r="B23" s="11"/>
      <c r="C23" s="38"/>
      <c r="D23" s="34"/>
      <c r="E23" s="42"/>
      <c r="F23" s="18"/>
      <c r="G23" s="34"/>
      <c r="H23" s="39"/>
    </row>
    <row r="24" spans="2:8" s="12" customFormat="1" ht="11.25">
      <c r="B24" s="11"/>
      <c r="C24" s="38" t="s">
        <v>19</v>
      </c>
      <c r="D24" s="30">
        <f>+ROUND((D$8+D14)/2,1)</f>
        <v>1.4</v>
      </c>
      <c r="E24" s="46">
        <f>+ROUND((E$8+E14)/2,2)</f>
        <v>0.7</v>
      </c>
      <c r="F24" s="18">
        <f>+ROUND((F$8+F14)/2,2)</f>
        <v>0.4</v>
      </c>
      <c r="G24" s="30">
        <f>+ROUND((G$8+G14)/2,1)</f>
        <v>1.3</v>
      </c>
      <c r="H24" s="33">
        <f>+ROUND((H$8+H14)/2,1)</f>
        <v>0.8</v>
      </c>
    </row>
    <row r="25" spans="2:8" s="12" customFormat="1" ht="11.25">
      <c r="B25" s="11"/>
      <c r="C25" s="38"/>
      <c r="D25" s="34"/>
      <c r="E25" s="42"/>
      <c r="F25" s="18"/>
      <c r="G25" s="34"/>
      <c r="H25" s="39"/>
    </row>
    <row r="26" spans="2:8" s="12" customFormat="1" ht="11.25">
      <c r="B26" s="11"/>
      <c r="C26" s="38" t="s">
        <v>22</v>
      </c>
      <c r="D26" s="30">
        <f>+ROUND((D$10+D14)/2,1)</f>
        <v>1.3</v>
      </c>
      <c r="E26" s="46">
        <f>+ROUND((E$10+E14)/2,2)</f>
        <v>0.75</v>
      </c>
      <c r="F26" s="18">
        <f>+ROUND((F$10+F14)/2,2)</f>
        <v>0.3</v>
      </c>
      <c r="G26" s="30">
        <f>+ROUND((G$10+G14)/2,1)</f>
        <v>1.3</v>
      </c>
      <c r="H26" s="33">
        <f>+ROUND((H$10+H14)/2,1)</f>
        <v>0.6</v>
      </c>
    </row>
    <row r="27" spans="1:8" ht="11.25">
      <c r="A27" s="9"/>
      <c r="B27" s="11"/>
      <c r="C27" s="38"/>
      <c r="D27" s="34"/>
      <c r="E27" s="42"/>
      <c r="F27" s="18"/>
      <c r="G27" s="34"/>
      <c r="H27" s="39"/>
    </row>
    <row r="28" spans="3:8" ht="11.25">
      <c r="C28" s="38" t="s">
        <v>17</v>
      </c>
      <c r="D28" s="30">
        <f>+ROUND((D$6+D16)/2,1)</f>
        <v>1.6</v>
      </c>
      <c r="E28" s="46">
        <f>+ROUND((E$6+E16)/2,2)</f>
        <v>0.6</v>
      </c>
      <c r="F28" s="18">
        <f>+ROUND((F$6+F16)/2,2)</f>
        <v>0.5</v>
      </c>
      <c r="G28" s="30">
        <f>+ROUND((G$6+G16)/2,1)</f>
        <v>1.5</v>
      </c>
      <c r="H28" s="33">
        <f>+ROUND((H$6+H16)/2,1)</f>
        <v>0.6</v>
      </c>
    </row>
    <row r="29" spans="3:8" ht="11.25">
      <c r="C29" s="38"/>
      <c r="D29" s="34"/>
      <c r="E29" s="42"/>
      <c r="F29" s="18"/>
      <c r="G29" s="34"/>
      <c r="H29" s="39"/>
    </row>
    <row r="30" spans="3:8" ht="11.25">
      <c r="C30" s="38" t="s">
        <v>20</v>
      </c>
      <c r="D30" s="30">
        <f>+ROUND((D$8+D16)/2,1)</f>
        <v>1.5</v>
      </c>
      <c r="E30" s="46">
        <f>+ROUND((E$8+E16)/2,2)</f>
        <v>0.65</v>
      </c>
      <c r="F30" s="18">
        <f>+ROUND((F$8+F16)/2,2)</f>
        <v>0.4</v>
      </c>
      <c r="G30" s="30">
        <f>+ROUND((G$8+G16)/2,1)</f>
        <v>1.4</v>
      </c>
      <c r="H30" s="33">
        <f>+ROUND((H$8+H16)/2,1)</f>
        <v>0.4</v>
      </c>
    </row>
    <row r="31" spans="3:8" ht="11.25">
      <c r="C31" s="38"/>
      <c r="D31" s="34"/>
      <c r="E31" s="42"/>
      <c r="F31" s="18"/>
      <c r="G31" s="34"/>
      <c r="H31" s="39"/>
    </row>
    <row r="32" spans="3:8" ht="11.25">
      <c r="C32" s="38" t="s">
        <v>23</v>
      </c>
      <c r="D32" s="30">
        <f>+ROUND((D$10+D16)/2,1)</f>
        <v>1.4</v>
      </c>
      <c r="E32" s="46">
        <f>+ROUND((E$10+E16)/2,2)</f>
        <v>0.7</v>
      </c>
      <c r="F32" s="18">
        <f>+ROUND((F$10+F16)/2,2)</f>
        <v>0.3</v>
      </c>
      <c r="G32" s="30">
        <f>+ROUND((G$10+G16)/2,1)</f>
        <v>1.4</v>
      </c>
      <c r="H32" s="33">
        <f>+ROUND((H$10+H16)/2,1)</f>
        <v>0.2</v>
      </c>
    </row>
    <row r="33" spans="3:8" ht="11.25">
      <c r="C33" s="38"/>
      <c r="D33" s="34"/>
      <c r="E33" s="42"/>
      <c r="F33" s="18"/>
      <c r="G33" s="34"/>
      <c r="H33" s="39"/>
    </row>
    <row r="34" spans="3:8" ht="11.25">
      <c r="C34" s="38" t="s">
        <v>18</v>
      </c>
      <c r="D34" s="30">
        <f>+ROUND((D$6+D18)/2,1)</f>
        <v>1.4</v>
      </c>
      <c r="E34" s="46">
        <f>+ROUND((E$6+E18)/2,2)</f>
        <v>0.7</v>
      </c>
      <c r="F34" s="18">
        <f>+ROUND((F$6+F18)/2,2)</f>
        <v>0.4</v>
      </c>
      <c r="G34" s="30">
        <f>+ROUND((G$6+G18)/2,1)</f>
        <v>1.3</v>
      </c>
      <c r="H34" s="33">
        <f>+ROUND((H$6+H18)/2,1)</f>
        <v>0.6</v>
      </c>
    </row>
    <row r="35" spans="3:8" ht="11.25">
      <c r="C35" s="38"/>
      <c r="D35" s="34"/>
      <c r="E35" s="42"/>
      <c r="F35" s="18"/>
      <c r="G35" s="34"/>
      <c r="H35" s="39"/>
    </row>
    <row r="36" spans="3:8" ht="11.25">
      <c r="C36" s="38" t="s">
        <v>21</v>
      </c>
      <c r="D36" s="30">
        <f>+ROUND((D$8+D18)/2,1)</f>
        <v>1.3</v>
      </c>
      <c r="E36" s="46">
        <f>+ROUND((E$8+E18)/2,2)</f>
        <v>0.75</v>
      </c>
      <c r="F36" s="18">
        <f>+ROUND((F$8+F18)/2,2)</f>
        <v>0.3</v>
      </c>
      <c r="G36" s="30">
        <f>+ROUND((G$8+G18)/2,1)</f>
        <v>1.2</v>
      </c>
      <c r="H36" s="33">
        <f>+ROUND((H$8+H18)/2,1)</f>
        <v>0.4</v>
      </c>
    </row>
    <row r="37" spans="3:8" ht="11.25">
      <c r="C37" s="38"/>
      <c r="D37" s="34"/>
      <c r="E37" s="42"/>
      <c r="F37" s="18"/>
      <c r="G37" s="34"/>
      <c r="H37" s="39"/>
    </row>
    <row r="38" spans="3:8" ht="12" thickBot="1">
      <c r="C38" s="40" t="s">
        <v>24</v>
      </c>
      <c r="D38" s="32">
        <f>+ROUND((D$10+D18)/2,1)</f>
        <v>1.2</v>
      </c>
      <c r="E38" s="47">
        <f>+ROUND((E$10+E18)/2,2)</f>
        <v>0.8</v>
      </c>
      <c r="F38" s="29">
        <f>+ROUND((F$10+F18)/2,2)</f>
        <v>0.2</v>
      </c>
      <c r="G38" s="32">
        <f>+ROUND((G$10+G18)/2,1)</f>
        <v>1.1</v>
      </c>
      <c r="H38" s="41">
        <f>+ROUND((H$10+H18)/2,1)</f>
        <v>0.2</v>
      </c>
    </row>
  </sheetData>
  <printOptions/>
  <pageMargins left="0.75" right="0.75" top="1" bottom="1" header="0" footer="0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23"/>
  <sheetViews>
    <sheetView tabSelected="1" view="pageBreakPreview" zoomScale="75" zoomScaleNormal="90" zoomScaleSheetLayoutView="75" workbookViewId="0" topLeftCell="A1">
      <selection activeCell="H8" sqref="H8"/>
    </sheetView>
  </sheetViews>
  <sheetFormatPr defaultColWidth="11.421875" defaultRowHeight="12.75"/>
  <cols>
    <col min="2" max="2" width="19.7109375" style="0" customWidth="1"/>
    <col min="3" max="3" width="48.8515625" style="0" customWidth="1"/>
    <col min="4" max="4" width="39.57421875" style="0" bestFit="1" customWidth="1"/>
    <col min="5" max="5" width="3.421875" style="0" customWidth="1"/>
    <col min="6" max="6" width="14.8515625" style="0" customWidth="1"/>
    <col min="7" max="7" width="2.00390625" style="0" customWidth="1"/>
    <col min="8" max="8" width="21.7109375" style="0" customWidth="1"/>
    <col min="9" max="9" width="3.8515625" style="0" customWidth="1"/>
    <col min="10" max="10" width="16.28125" style="0" bestFit="1" customWidth="1"/>
    <col min="11" max="11" width="3.8515625" style="0" customWidth="1"/>
    <col min="12" max="12" width="39.57421875" style="0" bestFit="1" customWidth="1"/>
    <col min="13" max="13" width="3.28125" style="0" customWidth="1"/>
    <col min="14" max="14" width="14.00390625" style="0" customWidth="1"/>
    <col min="15" max="15" width="2.421875" style="0" customWidth="1"/>
    <col min="16" max="16" width="13.57421875" style="0" customWidth="1"/>
    <col min="17" max="17" width="2.421875" style="0" customWidth="1"/>
    <col min="18" max="18" width="16.28125" style="0" bestFit="1" customWidth="1"/>
    <col min="19" max="19" width="2.421875" style="0" customWidth="1"/>
    <col min="20" max="20" width="40.28125" style="0" customWidth="1"/>
    <col min="21" max="21" width="3.7109375" style="0" customWidth="1"/>
    <col min="22" max="22" width="14.00390625" style="0" customWidth="1"/>
    <col min="23" max="23" width="2.421875" style="0" customWidth="1"/>
    <col min="24" max="24" width="12.421875" style="0" customWidth="1"/>
    <col min="25" max="25" width="2.421875" style="0" customWidth="1"/>
    <col min="26" max="26" width="16.28125" style="0" bestFit="1" customWidth="1"/>
    <col min="27" max="27" width="2.421875" style="0" customWidth="1"/>
    <col min="28" max="28" width="39.57421875" style="0" bestFit="1" customWidth="1"/>
    <col min="29" max="29" width="4.421875" style="0" customWidth="1"/>
    <col min="30" max="30" width="14.00390625" style="0" customWidth="1"/>
    <col min="31" max="31" width="2.421875" style="0" customWidth="1"/>
    <col min="32" max="32" width="12.00390625" style="0" customWidth="1"/>
    <col min="33" max="33" width="2.421875" style="0" customWidth="1"/>
    <col min="34" max="34" width="16.28125" style="0" bestFit="1" customWidth="1"/>
    <col min="35" max="35" width="2.421875" style="0" customWidth="1"/>
    <col min="36" max="36" width="38.28125" style="0" customWidth="1"/>
    <col min="37" max="37" width="3.140625" style="0" customWidth="1"/>
    <col min="38" max="38" width="16.140625" style="0" customWidth="1"/>
    <col min="39" max="39" width="2.421875" style="0" customWidth="1"/>
    <col min="40" max="40" width="16.140625" style="0" customWidth="1"/>
    <col min="41" max="41" width="2.421875" style="0" customWidth="1"/>
    <col min="42" max="42" width="12.00390625" style="0" customWidth="1"/>
    <col min="43" max="43" width="2.421875" style="0" customWidth="1"/>
  </cols>
  <sheetData>
    <row r="1" spans="1:3" ht="18">
      <c r="A1" s="139" t="s">
        <v>63</v>
      </c>
      <c r="B1" s="139"/>
      <c r="C1" s="139"/>
    </row>
    <row r="2" spans="1:3" ht="30.75" customHeight="1">
      <c r="A2" s="138"/>
      <c r="B2" s="138"/>
      <c r="C2" s="138"/>
    </row>
    <row r="3" spans="8:42" ht="25.5">
      <c r="H3" s="98" t="str">
        <f>+$B$14</f>
        <v>Presupuesto Oficial</v>
      </c>
      <c r="J3" s="99">
        <f>IF($B$14="Presupuesto Oficial",$C$14,#REF!)</f>
        <v>995000000</v>
      </c>
      <c r="P3" s="98" t="str">
        <f>+$B$14</f>
        <v>Presupuesto Oficial</v>
      </c>
      <c r="R3" s="99">
        <f>IF($B$14="Presupuesto Oficial",$C$14,#REF!)</f>
        <v>995000000</v>
      </c>
      <c r="X3" s="98" t="str">
        <f>+$B$14</f>
        <v>Presupuesto Oficial</v>
      </c>
      <c r="Z3" s="99">
        <f>IF($B$14="Presupuesto Oficial",$C$14,#REF!)</f>
        <v>995000000</v>
      </c>
      <c r="AF3" s="98" t="str">
        <f>+$B$14</f>
        <v>Presupuesto Oficial</v>
      </c>
      <c r="AH3" s="99">
        <f>IF($B$14="Presupuesto Oficial",$C$14,#REF!)</f>
        <v>995000000</v>
      </c>
      <c r="AN3" s="98" t="str">
        <f>+$B$14</f>
        <v>Presupuesto Oficial</v>
      </c>
      <c r="AP3" s="99">
        <f>IF($B$14="Presupuesto Oficial",$C$14,#REF!)</f>
        <v>995000000</v>
      </c>
    </row>
    <row r="4" spans="4:38" ht="13.5" thickBot="1">
      <c r="D4" s="71" t="s">
        <v>45</v>
      </c>
      <c r="F4" s="85"/>
      <c r="L4" s="71"/>
      <c r="N4" s="85"/>
      <c r="T4" s="71"/>
      <c r="V4" s="85"/>
      <c r="AB4" s="71"/>
      <c r="AD4" s="85"/>
      <c r="AJ4" s="71"/>
      <c r="AL4" s="85"/>
    </row>
    <row r="5" spans="4:42" ht="13.5" thickBot="1">
      <c r="D5" s="157" t="s">
        <v>64</v>
      </c>
      <c r="E5" s="158"/>
      <c r="F5" s="158"/>
      <c r="G5" s="145"/>
      <c r="H5" s="145"/>
      <c r="I5" s="145"/>
      <c r="J5" s="146"/>
      <c r="L5" s="157" t="s">
        <v>68</v>
      </c>
      <c r="M5" s="158"/>
      <c r="N5" s="158"/>
      <c r="O5" s="145"/>
      <c r="P5" s="145"/>
      <c r="Q5" s="145"/>
      <c r="R5" s="146"/>
      <c r="T5" s="157" t="s">
        <v>69</v>
      </c>
      <c r="U5" s="158"/>
      <c r="V5" s="158"/>
      <c r="W5" s="145"/>
      <c r="X5" s="145"/>
      <c r="Y5" s="145"/>
      <c r="Z5" s="146"/>
      <c r="AB5" s="157" t="s">
        <v>70</v>
      </c>
      <c r="AC5" s="158"/>
      <c r="AD5" s="158"/>
      <c r="AE5" s="145"/>
      <c r="AF5" s="145"/>
      <c r="AG5" s="145"/>
      <c r="AH5" s="146"/>
      <c r="AJ5" s="157" t="s">
        <v>73</v>
      </c>
      <c r="AK5" s="158"/>
      <c r="AL5" s="158"/>
      <c r="AM5" s="145"/>
      <c r="AN5" s="145"/>
      <c r="AO5" s="145"/>
      <c r="AP5" s="146"/>
    </row>
    <row r="6" spans="4:38" ht="12.75">
      <c r="D6" s="116" t="s">
        <v>40</v>
      </c>
      <c r="E6" s="117"/>
      <c r="F6" s="118">
        <v>1</v>
      </c>
      <c r="H6" s="107" t="s">
        <v>75</v>
      </c>
      <c r="L6" s="116" t="s">
        <v>40</v>
      </c>
      <c r="M6" s="117"/>
      <c r="N6" s="118">
        <v>0.13</v>
      </c>
      <c r="T6" s="116" t="s">
        <v>40</v>
      </c>
      <c r="U6" s="117"/>
      <c r="V6" s="118">
        <v>0.65</v>
      </c>
      <c r="AB6" s="116" t="s">
        <v>40</v>
      </c>
      <c r="AC6" s="117"/>
      <c r="AD6" s="118">
        <v>0.22</v>
      </c>
      <c r="AJ6" s="116" t="s">
        <v>40</v>
      </c>
      <c r="AK6" s="117"/>
      <c r="AL6" s="118">
        <v>1</v>
      </c>
    </row>
    <row r="7" spans="1:38" ht="12.75">
      <c r="A7" s="114"/>
      <c r="B7" s="105"/>
      <c r="C7" s="105"/>
      <c r="D7" s="119" t="s">
        <v>65</v>
      </c>
      <c r="E7" s="106">
        <v>26</v>
      </c>
      <c r="F7" s="120"/>
      <c r="H7" s="107"/>
      <c r="L7" s="119" t="s">
        <v>61</v>
      </c>
      <c r="M7" s="106">
        <v>20</v>
      </c>
      <c r="N7" s="120"/>
      <c r="T7" s="119" t="s">
        <v>61</v>
      </c>
      <c r="U7" s="106">
        <v>21</v>
      </c>
      <c r="V7" s="120"/>
      <c r="AB7" s="119" t="s">
        <v>61</v>
      </c>
      <c r="AC7" s="106">
        <v>22</v>
      </c>
      <c r="AD7" s="120"/>
      <c r="AJ7" s="119" t="s">
        <v>61</v>
      </c>
      <c r="AK7" s="106">
        <v>31</v>
      </c>
      <c r="AL7" s="120"/>
    </row>
    <row r="8" spans="1:38" ht="12.75">
      <c r="A8" s="114"/>
      <c r="B8" s="105"/>
      <c r="C8" s="105"/>
      <c r="D8" s="119" t="s">
        <v>66</v>
      </c>
      <c r="E8" s="106"/>
      <c r="F8" s="120"/>
      <c r="H8" s="107"/>
      <c r="I8" s="107"/>
      <c r="L8" s="119" t="s">
        <v>66</v>
      </c>
      <c r="M8" s="106"/>
      <c r="N8" s="120"/>
      <c r="T8" s="119" t="s">
        <v>76</v>
      </c>
      <c r="U8" s="106"/>
      <c r="V8" s="120"/>
      <c r="AB8" s="119" t="s">
        <v>66</v>
      </c>
      <c r="AC8" s="106"/>
      <c r="AD8" s="120"/>
      <c r="AJ8" s="119" t="s">
        <v>66</v>
      </c>
      <c r="AK8" s="106"/>
      <c r="AL8" s="120"/>
    </row>
    <row r="9" spans="1:38" ht="12.75">
      <c r="A9" s="114"/>
      <c r="B9" s="105"/>
      <c r="C9" s="105"/>
      <c r="D9" s="119" t="s">
        <v>62</v>
      </c>
      <c r="E9" s="106"/>
      <c r="F9" s="120"/>
      <c r="H9" s="107"/>
      <c r="I9" s="107"/>
      <c r="L9" s="119" t="s">
        <v>62</v>
      </c>
      <c r="M9" s="106"/>
      <c r="N9" s="120"/>
      <c r="T9" s="119" t="s">
        <v>62</v>
      </c>
      <c r="U9" s="106"/>
      <c r="V9" s="120"/>
      <c r="AB9" s="119" t="s">
        <v>62</v>
      </c>
      <c r="AC9" s="106"/>
      <c r="AD9" s="120"/>
      <c r="AJ9" s="119" t="s">
        <v>62</v>
      </c>
      <c r="AK9" s="106"/>
      <c r="AL9" s="120"/>
    </row>
    <row r="10" spans="1:38" ht="13.5" thickBot="1">
      <c r="A10" s="114"/>
      <c r="B10" s="105"/>
      <c r="C10" s="105"/>
      <c r="D10" s="119" t="s">
        <v>67</v>
      </c>
      <c r="E10" s="106">
        <v>34</v>
      </c>
      <c r="F10" s="121">
        <v>39977</v>
      </c>
      <c r="L10" s="119" t="s">
        <v>72</v>
      </c>
      <c r="M10" s="106">
        <v>41</v>
      </c>
      <c r="N10" s="121">
        <v>39962</v>
      </c>
      <c r="T10" s="119" t="s">
        <v>72</v>
      </c>
      <c r="U10" s="106">
        <v>41</v>
      </c>
      <c r="V10" s="121">
        <v>39962</v>
      </c>
      <c r="AB10" s="119" t="s">
        <v>72</v>
      </c>
      <c r="AC10" s="106">
        <v>41</v>
      </c>
      <c r="AD10" s="121">
        <v>39962</v>
      </c>
      <c r="AJ10" s="119" t="s">
        <v>74</v>
      </c>
      <c r="AK10" s="106">
        <v>54</v>
      </c>
      <c r="AL10" s="121">
        <v>39919</v>
      </c>
    </row>
    <row r="11" spans="1:38" ht="13.5" thickBot="1">
      <c r="A11" s="84">
        <v>7</v>
      </c>
      <c r="B11" s="147" t="str">
        <f>CONCATENATE(C97,"  -  ",C98)</f>
        <v>Con anticipo sin restricciones.  -  Proveeduría de servicios.</v>
      </c>
      <c r="C11" s="148"/>
      <c r="D11" s="104"/>
      <c r="E11" s="50"/>
      <c r="F11" s="122"/>
      <c r="L11" s="104"/>
      <c r="M11" s="50"/>
      <c r="N11" s="122"/>
      <c r="T11" s="104"/>
      <c r="U11" s="50"/>
      <c r="V11" s="122"/>
      <c r="AB11" s="104"/>
      <c r="AC11" s="50"/>
      <c r="AD11" s="122"/>
      <c r="AJ11" s="104"/>
      <c r="AK11" s="50"/>
      <c r="AL11" s="122"/>
    </row>
    <row r="12" spans="1:42" ht="18.75" thickBot="1">
      <c r="A12" s="53" t="s">
        <v>34</v>
      </c>
      <c r="B12" s="73"/>
      <c r="C12" s="50"/>
      <c r="D12" s="162" t="s">
        <v>59</v>
      </c>
      <c r="E12" s="163"/>
      <c r="F12" s="164"/>
      <c r="H12" s="161"/>
      <c r="I12" s="161"/>
      <c r="J12" s="161"/>
      <c r="L12" s="162" t="str">
        <f>+D12</f>
        <v>BALANCE A DICIEMBRE 31 DE 2008</v>
      </c>
      <c r="M12" s="163"/>
      <c r="N12" s="164"/>
      <c r="P12" s="161"/>
      <c r="Q12" s="161"/>
      <c r="R12" s="161"/>
      <c r="T12" s="162" t="str">
        <f>+L12</f>
        <v>BALANCE A DICIEMBRE 31 DE 2008</v>
      </c>
      <c r="U12" s="163"/>
      <c r="V12" s="164"/>
      <c r="X12" s="165"/>
      <c r="Y12" s="165"/>
      <c r="Z12" s="165"/>
      <c r="AB12" s="162" t="str">
        <f>+T12</f>
        <v>BALANCE A DICIEMBRE 31 DE 2008</v>
      </c>
      <c r="AC12" s="163"/>
      <c r="AD12" s="164"/>
      <c r="AF12" s="161"/>
      <c r="AG12" s="161"/>
      <c r="AH12" s="161"/>
      <c r="AJ12" s="162" t="str">
        <f>+AB12</f>
        <v>BALANCE A DICIEMBRE 31 DE 2008</v>
      </c>
      <c r="AK12" s="163"/>
      <c r="AL12" s="164"/>
      <c r="AN12" s="161"/>
      <c r="AO12" s="161"/>
      <c r="AP12" s="161"/>
    </row>
    <row r="13" spans="1:38" ht="13.5" thickBot="1">
      <c r="A13" s="84" t="s">
        <v>58</v>
      </c>
      <c r="B13" s="73"/>
      <c r="C13" s="50"/>
      <c r="D13" s="119" t="s">
        <v>25</v>
      </c>
      <c r="E13" s="106"/>
      <c r="F13" s="123">
        <f>742421215-351431991</f>
        <v>390989224</v>
      </c>
      <c r="L13" s="119" t="s">
        <v>25</v>
      </c>
      <c r="M13" s="106"/>
      <c r="N13" s="123">
        <v>421065549</v>
      </c>
      <c r="T13" s="119" t="s">
        <v>25</v>
      </c>
      <c r="U13" s="106"/>
      <c r="V13" s="123">
        <v>194610291</v>
      </c>
      <c r="X13" s="108"/>
      <c r="Y13" s="108"/>
      <c r="Z13" s="108"/>
      <c r="AB13" s="119" t="s">
        <v>25</v>
      </c>
      <c r="AC13" s="106"/>
      <c r="AD13" s="123">
        <v>244699000</v>
      </c>
      <c r="AJ13" s="119" t="s">
        <v>25</v>
      </c>
      <c r="AK13" s="106"/>
      <c r="AL13" s="127">
        <v>621165235.17</v>
      </c>
    </row>
    <row r="14" spans="1:38" ht="18.75" thickBot="1">
      <c r="A14" s="92" t="s">
        <v>39</v>
      </c>
      <c r="B14" s="100" t="str">
        <f>IF(A13="O","Oferta",IF(A13="","",IF(A13="p","Presupuesto Oficial")))</f>
        <v>Presupuesto Oficial</v>
      </c>
      <c r="C14" s="115">
        <v>995000000</v>
      </c>
      <c r="D14" s="119" t="s">
        <v>29</v>
      </c>
      <c r="E14" s="106"/>
      <c r="F14" s="123">
        <v>742421215</v>
      </c>
      <c r="L14" s="119" t="s">
        <v>29</v>
      </c>
      <c r="M14" s="106"/>
      <c r="N14" s="123">
        <v>699853549</v>
      </c>
      <c r="T14" s="119" t="s">
        <v>29</v>
      </c>
      <c r="U14" s="106"/>
      <c r="V14" s="123">
        <v>342197299.56</v>
      </c>
      <c r="X14" s="108"/>
      <c r="Y14" s="108"/>
      <c r="Z14" s="108"/>
      <c r="AB14" s="119" t="s">
        <v>29</v>
      </c>
      <c r="AC14" s="106"/>
      <c r="AD14" s="123">
        <v>632403000</v>
      </c>
      <c r="AJ14" s="119" t="s">
        <v>29</v>
      </c>
      <c r="AK14" s="106"/>
      <c r="AL14" s="127">
        <v>1459207608.36</v>
      </c>
    </row>
    <row r="15" spans="1:38" ht="13.5" thickBot="1">
      <c r="A15" s="84">
        <v>5</v>
      </c>
      <c r="B15" s="73"/>
      <c r="C15" s="50"/>
      <c r="D15" s="119" t="s">
        <v>26</v>
      </c>
      <c r="E15" s="106"/>
      <c r="F15" s="123">
        <v>139540921</v>
      </c>
      <c r="L15" s="119" t="s">
        <v>26</v>
      </c>
      <c r="M15" s="106"/>
      <c r="N15" s="123">
        <v>52063286</v>
      </c>
      <c r="T15" s="119" t="s">
        <v>26</v>
      </c>
      <c r="U15" s="106"/>
      <c r="V15" s="123">
        <v>60394785</v>
      </c>
      <c r="X15" s="108"/>
      <c r="Y15" s="108"/>
      <c r="Z15" s="108"/>
      <c r="AB15" s="119" t="s">
        <v>26</v>
      </c>
      <c r="AC15" s="106"/>
      <c r="AD15" s="123">
        <v>2400000</v>
      </c>
      <c r="AJ15" s="119" t="s">
        <v>26</v>
      </c>
      <c r="AK15" s="106"/>
      <c r="AL15" s="127">
        <v>202863745.6</v>
      </c>
    </row>
    <row r="16" spans="1:38" ht="27.75" thickBot="1">
      <c r="A16" s="92" t="s">
        <v>47</v>
      </c>
      <c r="D16" s="119" t="s">
        <v>30</v>
      </c>
      <c r="E16" s="106"/>
      <c r="F16" s="123">
        <v>246125992</v>
      </c>
      <c r="L16" s="119" t="s">
        <v>30</v>
      </c>
      <c r="M16" s="106"/>
      <c r="N16" s="123">
        <f>+N15</f>
        <v>52063286</v>
      </c>
      <c r="T16" s="119" t="s">
        <v>30</v>
      </c>
      <c r="U16" s="106"/>
      <c r="V16" s="123">
        <f>+V15</f>
        <v>60394785</v>
      </c>
      <c r="X16" s="108"/>
      <c r="Y16" s="108"/>
      <c r="Z16" s="108"/>
      <c r="AB16" s="119" t="s">
        <v>30</v>
      </c>
      <c r="AC16" s="106"/>
      <c r="AD16" s="123">
        <v>2400000</v>
      </c>
      <c r="AJ16" s="119" t="s">
        <v>30</v>
      </c>
      <c r="AK16" s="106"/>
      <c r="AL16" s="127">
        <v>380566318.6</v>
      </c>
    </row>
    <row r="17" spans="1:42" ht="13.5" thickBot="1">
      <c r="A17" s="84"/>
      <c r="B17" s="73"/>
      <c r="C17" s="50"/>
      <c r="D17" s="124" t="s">
        <v>60</v>
      </c>
      <c r="E17" s="125"/>
      <c r="F17" s="126">
        <f>+F14-F16</f>
        <v>496295223</v>
      </c>
      <c r="I17" s="103"/>
      <c r="J17" s="110"/>
      <c r="L17" s="124" t="s">
        <v>60</v>
      </c>
      <c r="M17" s="125"/>
      <c r="N17" s="126">
        <f>+N14-N16</f>
        <v>647790263</v>
      </c>
      <c r="P17" s="112"/>
      <c r="Q17" s="113"/>
      <c r="R17" s="110"/>
      <c r="T17" s="124" t="s">
        <v>60</v>
      </c>
      <c r="U17" s="125"/>
      <c r="V17" s="126">
        <f>+V14-V16</f>
        <v>281802514.56</v>
      </c>
      <c r="X17" s="108"/>
      <c r="Y17" s="109"/>
      <c r="Z17" s="110"/>
      <c r="AB17" s="124" t="s">
        <v>60</v>
      </c>
      <c r="AC17" s="125"/>
      <c r="AD17" s="126">
        <f>+AD14-AD16</f>
        <v>630003000</v>
      </c>
      <c r="AF17" s="108"/>
      <c r="AG17" s="109"/>
      <c r="AH17" s="110"/>
      <c r="AJ17" s="124" t="s">
        <v>60</v>
      </c>
      <c r="AK17" s="125"/>
      <c r="AL17" s="128">
        <f>+AL14-AL16</f>
        <v>1078641289.7599998</v>
      </c>
      <c r="AO17" s="103"/>
      <c r="AP17" s="110"/>
    </row>
    <row r="18" spans="4:38" ht="12.75">
      <c r="D18" s="71"/>
      <c r="F18" s="85"/>
      <c r="L18" s="71"/>
      <c r="N18" s="85"/>
      <c r="T18" s="71"/>
      <c r="V18" s="85"/>
      <c r="AB18" s="71"/>
      <c r="AD18" s="85"/>
      <c r="AJ18" s="71"/>
      <c r="AL18" s="85"/>
    </row>
    <row r="19" spans="4:38" ht="12.75">
      <c r="D19" s="71"/>
      <c r="F19" s="85"/>
      <c r="L19" s="71"/>
      <c r="N19" s="85"/>
      <c r="T19" s="71"/>
      <c r="V19" s="85"/>
      <c r="AB19" s="71"/>
      <c r="AD19" s="85"/>
      <c r="AJ19" s="71"/>
      <c r="AL19" s="85"/>
    </row>
    <row r="20" spans="4:38" ht="13.5" thickBot="1">
      <c r="D20" s="71" t="s">
        <v>45</v>
      </c>
      <c r="F20" s="85"/>
      <c r="L20" s="71"/>
      <c r="N20" s="85"/>
      <c r="T20" s="71"/>
      <c r="V20" s="85"/>
      <c r="AB20" s="71"/>
      <c r="AD20" s="85"/>
      <c r="AJ20" s="71"/>
      <c r="AL20" s="85"/>
    </row>
    <row r="21" spans="2:42" ht="21.75" customHeight="1" thickBot="1">
      <c r="B21" s="72"/>
      <c r="C21" s="101"/>
      <c r="D21" s="144" t="str">
        <f>+D5</f>
        <v>TECTUS LTDA</v>
      </c>
      <c r="E21" s="145"/>
      <c r="F21" s="145"/>
      <c r="G21" s="145"/>
      <c r="H21" s="145"/>
      <c r="I21" s="145"/>
      <c r="J21" s="146"/>
      <c r="L21" s="144" t="str">
        <f>+L5</f>
        <v>JORGE EDGAR ALFONSO PARDO CASTRO</v>
      </c>
      <c r="M21" s="145"/>
      <c r="N21" s="145"/>
      <c r="O21" s="145"/>
      <c r="P21" s="145"/>
      <c r="Q21" s="145"/>
      <c r="R21" s="146"/>
      <c r="T21" s="144" t="str">
        <f>+T5</f>
        <v>RODOLFO DE JESUS ULLOA VERGARA</v>
      </c>
      <c r="U21" s="145"/>
      <c r="V21" s="145"/>
      <c r="W21" s="145"/>
      <c r="X21" s="145"/>
      <c r="Y21" s="145"/>
      <c r="Z21" s="146"/>
      <c r="AB21" s="144" t="str">
        <f>+AB5</f>
        <v>OSWALDO ESCOBAR MURIEL</v>
      </c>
      <c r="AC21" s="145"/>
      <c r="AD21" s="145"/>
      <c r="AE21" s="145"/>
      <c r="AF21" s="145"/>
      <c r="AG21" s="145"/>
      <c r="AH21" s="146"/>
      <c r="AJ21" s="144" t="str">
        <f>+AJ5</f>
        <v>GUSTAVO MURILLO SALSAÑA</v>
      </c>
      <c r="AK21" s="145"/>
      <c r="AL21" s="145"/>
      <c r="AM21" s="145"/>
      <c r="AN21" s="145"/>
      <c r="AO21" s="145"/>
      <c r="AP21" s="146"/>
    </row>
    <row r="22" spans="2:42" ht="13.5" thickBot="1">
      <c r="B22" s="73"/>
      <c r="C22" s="74"/>
      <c r="D22" s="72"/>
      <c r="E22" s="95"/>
      <c r="F22" s="95"/>
      <c r="G22" s="95"/>
      <c r="H22" s="95"/>
      <c r="I22" s="95"/>
      <c r="J22" s="96"/>
      <c r="L22" s="72"/>
      <c r="M22" s="95"/>
      <c r="N22" s="95"/>
      <c r="O22" s="95"/>
      <c r="P22" s="95"/>
      <c r="Q22" s="95"/>
      <c r="R22" s="96"/>
      <c r="T22" s="72"/>
      <c r="U22" s="95"/>
      <c r="V22" s="95"/>
      <c r="W22" s="95"/>
      <c r="X22" s="95"/>
      <c r="Y22" s="95"/>
      <c r="Z22" s="96"/>
      <c r="AB22" s="72"/>
      <c r="AC22" s="95"/>
      <c r="AD22" s="95"/>
      <c r="AE22" s="95"/>
      <c r="AF22" s="95"/>
      <c r="AG22" s="95"/>
      <c r="AH22" s="96"/>
      <c r="AJ22" s="72"/>
      <c r="AK22" s="95"/>
      <c r="AL22" s="95"/>
      <c r="AM22" s="95"/>
      <c r="AN22" s="95"/>
      <c r="AO22" s="95"/>
      <c r="AP22" s="96"/>
    </row>
    <row r="23" spans="1:42" ht="12.75">
      <c r="A23" s="155">
        <v>1.3</v>
      </c>
      <c r="B23" s="149" t="s">
        <v>27</v>
      </c>
      <c r="C23" s="160" t="str">
        <f>CONCATENATE(C305,"  ",A23)</f>
        <v>Activo corriente / Pasivo corriente &gt;=   1,3</v>
      </c>
      <c r="D23" s="57" t="s">
        <v>25</v>
      </c>
      <c r="E23" s="50"/>
      <c r="F23" s="56">
        <f>+F13</f>
        <v>390989224</v>
      </c>
      <c r="G23" s="50"/>
      <c r="H23" s="143">
        <f>+F23/F24</f>
        <v>2.801968205441327</v>
      </c>
      <c r="I23" s="50"/>
      <c r="J23" s="134" t="str">
        <f>IF(F23="","",IF(H23&gt;=A23,"CUMPLE","NO CUMPLE"))</f>
        <v>CUMPLE</v>
      </c>
      <c r="L23" s="57" t="s">
        <v>25</v>
      </c>
      <c r="M23" s="50"/>
      <c r="N23" s="56">
        <f>+N13</f>
        <v>421065549</v>
      </c>
      <c r="O23" s="50"/>
      <c r="P23" s="143">
        <f>+N23/N24</f>
        <v>8.087571518248003</v>
      </c>
      <c r="Q23" s="50"/>
      <c r="R23" s="134" t="str">
        <f>IF(N23="","",IF(P23&gt;=A23,"CUMPLE","NO CUMPLE"))</f>
        <v>CUMPLE</v>
      </c>
      <c r="T23" s="57" t="s">
        <v>25</v>
      </c>
      <c r="U23" s="50"/>
      <c r="V23" s="56">
        <f>+V13</f>
        <v>194610291</v>
      </c>
      <c r="W23" s="50"/>
      <c r="X23" s="143">
        <f>+V23/V24</f>
        <v>3.2223029024774243</v>
      </c>
      <c r="Y23" s="50"/>
      <c r="Z23" s="134" t="str">
        <f>IF(V23="","",IF(X23&gt;=A23,"CUMPLE","NO CUMPLE"))</f>
        <v>CUMPLE</v>
      </c>
      <c r="AB23" s="57" t="s">
        <v>25</v>
      </c>
      <c r="AC23" s="50"/>
      <c r="AD23" s="56">
        <f>+AD13</f>
        <v>244699000</v>
      </c>
      <c r="AE23" s="50"/>
      <c r="AF23" s="143">
        <f>+AD23/AD24</f>
        <v>101.95791666666666</v>
      </c>
      <c r="AG23" s="50"/>
      <c r="AH23" s="134" t="str">
        <f>IF(AD23="","",IF(AF23&gt;=A23,"CUMPLE","NO CUMPLE"))</f>
        <v>CUMPLE</v>
      </c>
      <c r="AJ23" s="57" t="s">
        <v>25</v>
      </c>
      <c r="AK23" s="50"/>
      <c r="AL23" s="56">
        <f>+AL13</f>
        <v>621165235.17</v>
      </c>
      <c r="AM23" s="50"/>
      <c r="AN23" s="143">
        <f>+AL23/AL24</f>
        <v>3.061982481555837</v>
      </c>
      <c r="AO23" s="50"/>
      <c r="AP23" s="134" t="str">
        <f>IF(AL23="","",IF(AN23&gt;=A23,"CUMPLE","NO CUMPLE"))</f>
        <v>CUMPLE</v>
      </c>
    </row>
    <row r="24" spans="1:42" ht="13.5" thickBot="1">
      <c r="A24" s="155" t="str">
        <f>VLOOKUP($A$11,COMBINACIONES!$B$4:$I$20,3,0)</f>
        <v>Proveeduría de servicios.</v>
      </c>
      <c r="B24" s="149"/>
      <c r="C24" s="160"/>
      <c r="D24" s="58" t="s">
        <v>26</v>
      </c>
      <c r="E24" s="50"/>
      <c r="F24" s="70">
        <f>+F15</f>
        <v>139540921</v>
      </c>
      <c r="G24" s="50"/>
      <c r="H24" s="143"/>
      <c r="I24" s="50"/>
      <c r="J24" s="134"/>
      <c r="L24" s="58" t="s">
        <v>26</v>
      </c>
      <c r="M24" s="50"/>
      <c r="N24" s="70">
        <f>+N15</f>
        <v>52063286</v>
      </c>
      <c r="O24" s="50"/>
      <c r="P24" s="143"/>
      <c r="Q24" s="50"/>
      <c r="R24" s="134"/>
      <c r="T24" s="58" t="s">
        <v>26</v>
      </c>
      <c r="U24" s="50"/>
      <c r="V24" s="70">
        <f>+V15</f>
        <v>60394785</v>
      </c>
      <c r="W24" s="50"/>
      <c r="X24" s="143"/>
      <c r="Y24" s="50"/>
      <c r="Z24" s="134"/>
      <c r="AB24" s="58" t="s">
        <v>26</v>
      </c>
      <c r="AC24" s="50"/>
      <c r="AD24" s="70">
        <f>+AD15</f>
        <v>2400000</v>
      </c>
      <c r="AE24" s="50"/>
      <c r="AF24" s="143"/>
      <c r="AG24" s="50"/>
      <c r="AH24" s="134"/>
      <c r="AJ24" s="58" t="s">
        <v>26</v>
      </c>
      <c r="AK24" s="50"/>
      <c r="AL24" s="70">
        <f>+AL15</f>
        <v>202863745.6</v>
      </c>
      <c r="AM24" s="50"/>
      <c r="AN24" s="143"/>
      <c r="AO24" s="50"/>
      <c r="AP24" s="134"/>
    </row>
    <row r="25" spans="1:42" ht="13.5" thickBot="1">
      <c r="A25" s="66"/>
      <c r="B25" s="73"/>
      <c r="C25" s="74"/>
      <c r="D25" s="73"/>
      <c r="E25" s="50"/>
      <c r="F25" s="50"/>
      <c r="G25" s="50"/>
      <c r="H25" s="50"/>
      <c r="I25" s="50"/>
      <c r="J25" s="75"/>
      <c r="L25" s="73"/>
      <c r="M25" s="50"/>
      <c r="N25" s="50"/>
      <c r="O25" s="50"/>
      <c r="P25" s="50"/>
      <c r="Q25" s="50"/>
      <c r="R25" s="75"/>
      <c r="T25" s="73"/>
      <c r="U25" s="50"/>
      <c r="V25" s="50"/>
      <c r="W25" s="50"/>
      <c r="X25" s="50"/>
      <c r="Y25" s="50"/>
      <c r="Z25" s="75"/>
      <c r="AB25" s="73"/>
      <c r="AC25" s="50"/>
      <c r="AD25" s="50"/>
      <c r="AE25" s="50"/>
      <c r="AF25" s="50"/>
      <c r="AG25" s="50"/>
      <c r="AH25" s="75"/>
      <c r="AJ25" s="73"/>
      <c r="AK25" s="50"/>
      <c r="AL25" s="50"/>
      <c r="AM25" s="50"/>
      <c r="AN25" s="50"/>
      <c r="AO25" s="50"/>
      <c r="AP25" s="75"/>
    </row>
    <row r="26" spans="1:42" ht="12.75">
      <c r="A26" s="156">
        <v>0.75</v>
      </c>
      <c r="B26" s="149" t="s">
        <v>28</v>
      </c>
      <c r="C26" s="160" t="str">
        <f>CONCATENATE(C306,"  ",A26)</f>
        <v>Pasivo total / Activo total  &lt;=   0,75</v>
      </c>
      <c r="D26" s="57" t="s">
        <v>30</v>
      </c>
      <c r="E26" s="50"/>
      <c r="F26" s="56">
        <f>+F16</f>
        <v>246125992</v>
      </c>
      <c r="G26" s="50"/>
      <c r="H26" s="133">
        <f>+F26/F27</f>
        <v>0.6294955893720487</v>
      </c>
      <c r="I26" s="50"/>
      <c r="J26" s="134" t="str">
        <f>IF(F26="","",IF(H26&lt;=A26,"CUMPLE","NO CUMPLE"))</f>
        <v>CUMPLE</v>
      </c>
      <c r="L26" s="57" t="s">
        <v>30</v>
      </c>
      <c r="M26" s="50"/>
      <c r="N26" s="56">
        <f>+N16</f>
        <v>52063286</v>
      </c>
      <c r="O26" s="50"/>
      <c r="P26" s="133">
        <f>+N26/N27</f>
        <v>0.07439168676702675</v>
      </c>
      <c r="Q26" s="50"/>
      <c r="R26" s="134" t="str">
        <f>IF(N26="","",IF(P26&lt;=A26,"CUMPLE","NO CUMPLE"))</f>
        <v>CUMPLE</v>
      </c>
      <c r="T26" s="57" t="s">
        <v>30</v>
      </c>
      <c r="U26" s="50"/>
      <c r="V26" s="56">
        <f>+V16</f>
        <v>60394785</v>
      </c>
      <c r="W26" s="50"/>
      <c r="X26" s="133">
        <f>+V26/V27</f>
        <v>0.176491120992644</v>
      </c>
      <c r="Y26" s="50"/>
      <c r="Z26" s="134" t="str">
        <f>IF(V26="","",IF(X26&lt;=A26,"CUMPLE","NO CUMPLE"))</f>
        <v>CUMPLE</v>
      </c>
      <c r="AB26" s="57" t="s">
        <v>30</v>
      </c>
      <c r="AC26" s="50"/>
      <c r="AD26" s="56">
        <f>+AD16</f>
        <v>2400000</v>
      </c>
      <c r="AE26" s="50"/>
      <c r="AF26" s="133">
        <f>+AD26/AD27</f>
        <v>0.0037950484105862877</v>
      </c>
      <c r="AG26" s="50"/>
      <c r="AH26" s="134" t="str">
        <f>IF(AD26="","",IF(AF26&lt;=A26,"CUMPLE","NO CUMPLE"))</f>
        <v>CUMPLE</v>
      </c>
      <c r="AJ26" s="57" t="s">
        <v>30</v>
      </c>
      <c r="AK26" s="50"/>
      <c r="AL26" s="56">
        <f>+AL16</f>
        <v>380566318.6</v>
      </c>
      <c r="AM26" s="50"/>
      <c r="AN26" s="133">
        <f>+AL26/AL27</f>
        <v>0.26080340893213794</v>
      </c>
      <c r="AO26" s="50"/>
      <c r="AP26" s="134" t="str">
        <f>IF(AL26="","",IF(AN26&lt;=A26,"CUMPLE","NO CUMPLE"))</f>
        <v>CUMPLE</v>
      </c>
    </row>
    <row r="27" spans="1:42" ht="13.5" thickBot="1">
      <c r="A27" s="155" t="str">
        <f>VLOOKUP($A$11,COMBINACIONES!$B$4:$I$20,3,0)</f>
        <v>Proveeduría de servicios.</v>
      </c>
      <c r="B27" s="149"/>
      <c r="C27" s="160"/>
      <c r="D27" s="58" t="s">
        <v>29</v>
      </c>
      <c r="E27" s="50"/>
      <c r="F27" s="70">
        <f>+F13</f>
        <v>390989224</v>
      </c>
      <c r="G27" s="50"/>
      <c r="H27" s="133"/>
      <c r="I27" s="50"/>
      <c r="J27" s="134"/>
      <c r="L27" s="58" t="s">
        <v>29</v>
      </c>
      <c r="M27" s="50"/>
      <c r="N27" s="70">
        <f>+N14</f>
        <v>699853549</v>
      </c>
      <c r="O27" s="50"/>
      <c r="P27" s="133"/>
      <c r="Q27" s="50"/>
      <c r="R27" s="134"/>
      <c r="T27" s="58" t="s">
        <v>29</v>
      </c>
      <c r="U27" s="50"/>
      <c r="V27" s="70">
        <f>+V14</f>
        <v>342197299.56</v>
      </c>
      <c r="W27" s="50"/>
      <c r="X27" s="133"/>
      <c r="Y27" s="50"/>
      <c r="Z27" s="134"/>
      <c r="AB27" s="58" t="s">
        <v>29</v>
      </c>
      <c r="AC27" s="50"/>
      <c r="AD27" s="70">
        <f>+AD14</f>
        <v>632403000</v>
      </c>
      <c r="AE27" s="50"/>
      <c r="AF27" s="133"/>
      <c r="AG27" s="50"/>
      <c r="AH27" s="134"/>
      <c r="AJ27" s="58" t="s">
        <v>29</v>
      </c>
      <c r="AK27" s="50"/>
      <c r="AL27" s="70">
        <f>+AL14</f>
        <v>1459207608.36</v>
      </c>
      <c r="AM27" s="50"/>
      <c r="AN27" s="133"/>
      <c r="AO27" s="50"/>
      <c r="AP27" s="134"/>
    </row>
    <row r="28" spans="1:42" ht="13.5" thickBot="1">
      <c r="A28" s="66"/>
      <c r="B28" s="73"/>
      <c r="C28" s="74"/>
      <c r="D28" s="73"/>
      <c r="E28" s="50"/>
      <c r="F28" s="50"/>
      <c r="G28" s="50"/>
      <c r="H28" s="50"/>
      <c r="I28" s="50"/>
      <c r="J28" s="75"/>
      <c r="L28" s="73"/>
      <c r="M28" s="50"/>
      <c r="N28" s="50"/>
      <c r="O28" s="50"/>
      <c r="P28" s="50"/>
      <c r="Q28" s="50"/>
      <c r="R28" s="75"/>
      <c r="T28" s="73"/>
      <c r="U28" s="50"/>
      <c r="V28" s="50"/>
      <c r="W28" s="50"/>
      <c r="X28" s="50"/>
      <c r="Y28" s="50"/>
      <c r="Z28" s="75"/>
      <c r="AB28" s="73"/>
      <c r="AC28" s="50"/>
      <c r="AD28" s="50"/>
      <c r="AE28" s="50"/>
      <c r="AF28" s="50"/>
      <c r="AG28" s="50"/>
      <c r="AH28" s="75"/>
      <c r="AJ28" s="73"/>
      <c r="AK28" s="50"/>
      <c r="AL28" s="50"/>
      <c r="AM28" s="50"/>
      <c r="AN28" s="50"/>
      <c r="AO28" s="50"/>
      <c r="AP28" s="75"/>
    </row>
    <row r="29" spans="1:42" ht="12.75" customHeight="1">
      <c r="A29" s="159">
        <v>0.3</v>
      </c>
      <c r="B29" s="151" t="s">
        <v>35</v>
      </c>
      <c r="C29" s="150" t="str">
        <f>CONCATENATE(C307," ",A29," ",D307,F307,H307)</f>
        <v>(Activo corriente - Pasivo corriente) - (   0,3  * Presupuesto Oficial) = SCT</v>
      </c>
      <c r="D29" s="59" t="s">
        <v>37</v>
      </c>
      <c r="E29" s="50"/>
      <c r="F29" s="56">
        <f>+F23-F24</f>
        <v>251448303</v>
      </c>
      <c r="G29" s="50"/>
      <c r="H29" s="135">
        <f>+(F29)-(F31*F30)</f>
        <v>-47051697</v>
      </c>
      <c r="I29" s="50"/>
      <c r="J29" s="130" t="str">
        <f>IF(H29&gt;=0,"CUMPLE","NO CUMPLE")</f>
        <v>NO CUMPLE</v>
      </c>
      <c r="L29" s="59" t="s">
        <v>37</v>
      </c>
      <c r="M29" s="50"/>
      <c r="N29" s="56">
        <f>+N23-N24</f>
        <v>369002263</v>
      </c>
      <c r="O29" s="50"/>
      <c r="P29" s="135">
        <f>+(N29)-(N31*N30)</f>
        <v>70502263</v>
      </c>
      <c r="Q29" s="50"/>
      <c r="R29" s="130" t="str">
        <f>IF(P29&gt;=0,"CUMPLE","NO CUMPLE")</f>
        <v>CUMPLE</v>
      </c>
      <c r="T29" s="59" t="s">
        <v>37</v>
      </c>
      <c r="U29" s="50"/>
      <c r="V29" s="56">
        <f>+V23-V24</f>
        <v>134215506</v>
      </c>
      <c r="W29" s="50"/>
      <c r="X29" s="135">
        <f>+(V29)-(V31*V30)</f>
        <v>-164284494</v>
      </c>
      <c r="Y29" s="50"/>
      <c r="Z29" s="130" t="str">
        <f>IF(X29&gt;=0,"CUMPLE","NO CUMPLE")</f>
        <v>NO CUMPLE</v>
      </c>
      <c r="AB29" s="59" t="s">
        <v>37</v>
      </c>
      <c r="AC29" s="50"/>
      <c r="AD29" s="56">
        <f>+AD23-AD24</f>
        <v>242299000</v>
      </c>
      <c r="AE29" s="50"/>
      <c r="AF29" s="135">
        <f>+(AD29)-(AD31*AD30)</f>
        <v>-56201000</v>
      </c>
      <c r="AG29" s="50"/>
      <c r="AH29" s="130" t="str">
        <f>IF(AF29&gt;=0,"CUMPLE","NO CUMPLE")</f>
        <v>NO CUMPLE</v>
      </c>
      <c r="AJ29" s="59" t="s">
        <v>37</v>
      </c>
      <c r="AK29" s="50"/>
      <c r="AL29" s="56">
        <f>+AL23-AL24</f>
        <v>418301489.56999993</v>
      </c>
      <c r="AM29" s="50"/>
      <c r="AN29" s="135">
        <f>+(AL29)-(AL31*AL30)</f>
        <v>119801489.56999993</v>
      </c>
      <c r="AO29" s="50"/>
      <c r="AP29" s="130" t="str">
        <f>IF(AN29&gt;=0,"CUMPLE","NO CUMPLE")</f>
        <v>CUMPLE</v>
      </c>
    </row>
    <row r="30" spans="1:42" ht="12.75">
      <c r="A30" s="159"/>
      <c r="B30" s="152"/>
      <c r="C30" s="150"/>
      <c r="D30" s="80" t="str">
        <f>+$B$14</f>
        <v>Presupuesto Oficial</v>
      </c>
      <c r="E30" s="50"/>
      <c r="F30" s="81">
        <f>IF($B14="Presupuesto",$C$14,J3)</f>
        <v>995000000</v>
      </c>
      <c r="G30" s="50"/>
      <c r="H30" s="136"/>
      <c r="I30" s="50"/>
      <c r="J30" s="131"/>
      <c r="L30" s="80" t="str">
        <f>+$B$14</f>
        <v>Presupuesto Oficial</v>
      </c>
      <c r="M30" s="50"/>
      <c r="N30" s="81">
        <f>IF($B14="Presupuesto",$C$14,R3)</f>
        <v>995000000</v>
      </c>
      <c r="O30" s="50"/>
      <c r="P30" s="136"/>
      <c r="Q30" s="50"/>
      <c r="R30" s="131"/>
      <c r="T30" s="80" t="str">
        <f>+$B$14</f>
        <v>Presupuesto Oficial</v>
      </c>
      <c r="U30" s="50"/>
      <c r="V30" s="81">
        <f>IF($B14="Presupuesto",$C$14,Z3)</f>
        <v>995000000</v>
      </c>
      <c r="W30" s="50"/>
      <c r="X30" s="136"/>
      <c r="Y30" s="50"/>
      <c r="Z30" s="131"/>
      <c r="AB30" s="80" t="str">
        <f>+$B$14</f>
        <v>Presupuesto Oficial</v>
      </c>
      <c r="AC30" s="50"/>
      <c r="AD30" s="81">
        <f>IF($B14="Presupuesto",$C$14,AH3)</f>
        <v>995000000</v>
      </c>
      <c r="AE30" s="50"/>
      <c r="AF30" s="136"/>
      <c r="AG30" s="50"/>
      <c r="AH30" s="131"/>
      <c r="AJ30" s="80" t="str">
        <f>+$B$14</f>
        <v>Presupuesto Oficial</v>
      </c>
      <c r="AK30" s="50"/>
      <c r="AL30" s="81">
        <f>IF($B14="Presupuesto",$C$14,AP3)</f>
        <v>995000000</v>
      </c>
      <c r="AM30" s="50"/>
      <c r="AN30" s="136"/>
      <c r="AO30" s="50"/>
      <c r="AP30" s="131"/>
    </row>
    <row r="31" spans="1:42" ht="13.5" thickBot="1">
      <c r="A31" s="159"/>
      <c r="B31" s="153"/>
      <c r="C31" s="150"/>
      <c r="D31" s="93" t="s">
        <v>41</v>
      </c>
      <c r="E31" s="50"/>
      <c r="F31" s="94">
        <f>+$A$29</f>
        <v>0.3</v>
      </c>
      <c r="G31" s="50"/>
      <c r="H31" s="137"/>
      <c r="I31" s="50"/>
      <c r="J31" s="132"/>
      <c r="L31" s="93" t="s">
        <v>41</v>
      </c>
      <c r="M31" s="50"/>
      <c r="N31" s="94">
        <f>+$A$29</f>
        <v>0.3</v>
      </c>
      <c r="O31" s="50"/>
      <c r="P31" s="137"/>
      <c r="Q31" s="50"/>
      <c r="R31" s="132"/>
      <c r="T31" s="93" t="s">
        <v>41</v>
      </c>
      <c r="U31" s="50"/>
      <c r="V31" s="94">
        <f>+$A$29</f>
        <v>0.3</v>
      </c>
      <c r="W31" s="50"/>
      <c r="X31" s="137"/>
      <c r="Y31" s="50"/>
      <c r="Z31" s="132"/>
      <c r="AB31" s="93" t="s">
        <v>41</v>
      </c>
      <c r="AC31" s="50"/>
      <c r="AD31" s="94">
        <f>+$A$29</f>
        <v>0.3</v>
      </c>
      <c r="AE31" s="50"/>
      <c r="AF31" s="137"/>
      <c r="AG31" s="50"/>
      <c r="AH31" s="132"/>
      <c r="AJ31" s="93" t="s">
        <v>41</v>
      </c>
      <c r="AK31" s="50"/>
      <c r="AL31" s="94">
        <f>+$A$29</f>
        <v>0.3</v>
      </c>
      <c r="AM31" s="50"/>
      <c r="AN31" s="137"/>
      <c r="AO31" s="50"/>
      <c r="AP31" s="132"/>
    </row>
    <row r="32" spans="1:42" ht="12.75">
      <c r="A32" s="66"/>
      <c r="B32" s="76"/>
      <c r="C32" s="102"/>
      <c r="D32" s="73"/>
      <c r="E32" s="50"/>
      <c r="F32" s="63"/>
      <c r="G32" s="50"/>
      <c r="H32" s="62"/>
      <c r="I32" s="50"/>
      <c r="J32" s="77"/>
      <c r="L32" s="73"/>
      <c r="M32" s="50"/>
      <c r="N32" s="63"/>
      <c r="O32" s="50"/>
      <c r="P32" s="62"/>
      <c r="Q32" s="50"/>
      <c r="R32" s="77"/>
      <c r="T32" s="73"/>
      <c r="U32" s="50"/>
      <c r="V32" s="63"/>
      <c r="W32" s="50"/>
      <c r="X32" s="62"/>
      <c r="Y32" s="50"/>
      <c r="Z32" s="77"/>
      <c r="AB32" s="73"/>
      <c r="AC32" s="50"/>
      <c r="AD32" s="63"/>
      <c r="AE32" s="50"/>
      <c r="AF32" s="62"/>
      <c r="AG32" s="50"/>
      <c r="AH32" s="77"/>
      <c r="AJ32" s="73"/>
      <c r="AK32" s="50"/>
      <c r="AL32" s="63"/>
      <c r="AM32" s="50"/>
      <c r="AN32" s="62"/>
      <c r="AO32" s="50"/>
      <c r="AP32" s="77"/>
    </row>
    <row r="33" spans="1:42" ht="13.5" thickBot="1">
      <c r="A33" s="66"/>
      <c r="B33" s="73"/>
      <c r="C33" s="74"/>
      <c r="D33" s="73"/>
      <c r="E33" s="50"/>
      <c r="F33" s="50"/>
      <c r="G33" s="50"/>
      <c r="H33" s="50"/>
      <c r="I33" s="50"/>
      <c r="J33" s="74"/>
      <c r="L33" s="73"/>
      <c r="M33" s="50"/>
      <c r="N33" s="50"/>
      <c r="O33" s="50"/>
      <c r="P33" s="50"/>
      <c r="Q33" s="50"/>
      <c r="R33" s="74"/>
      <c r="T33" s="73"/>
      <c r="U33" s="50"/>
      <c r="V33" s="50"/>
      <c r="W33" s="50"/>
      <c r="X33" s="50"/>
      <c r="Y33" s="50"/>
      <c r="Z33" s="74"/>
      <c r="AB33" s="73"/>
      <c r="AC33" s="50"/>
      <c r="AD33" s="50"/>
      <c r="AE33" s="50"/>
      <c r="AF33" s="50"/>
      <c r="AG33" s="50"/>
      <c r="AH33" s="74"/>
      <c r="AJ33" s="73"/>
      <c r="AK33" s="50"/>
      <c r="AL33" s="50"/>
      <c r="AM33" s="50"/>
      <c r="AN33" s="50"/>
      <c r="AO33" s="50"/>
      <c r="AP33" s="74"/>
    </row>
    <row r="34" spans="1:42" ht="15" customHeight="1">
      <c r="A34" s="154">
        <v>1.2</v>
      </c>
      <c r="B34" s="151" t="s">
        <v>36</v>
      </c>
      <c r="C34" s="150" t="str">
        <f>CONCATENATE("(",A34,C308,D308,F308)</f>
        <v>(1,2 - ((% Participacion X Presupuesto Oficial) / Patrimonio ) = SRP</v>
      </c>
      <c r="D34" s="51" t="s">
        <v>41</v>
      </c>
      <c r="E34" s="50"/>
      <c r="F34" s="64">
        <f>+$A34</f>
        <v>1.2</v>
      </c>
      <c r="G34" s="50"/>
      <c r="H34" s="129">
        <f>+F34-((F37/F38))</f>
        <v>-0.8048550819921958</v>
      </c>
      <c r="I34" s="50"/>
      <c r="J34" s="130" t="str">
        <f>IF(H34&gt;=0,"CUMPLE","NO CUMPLE")</f>
        <v>NO CUMPLE</v>
      </c>
      <c r="L34" s="51" t="s">
        <v>41</v>
      </c>
      <c r="M34" s="50"/>
      <c r="N34" s="64">
        <f>+$A34</f>
        <v>1.2</v>
      </c>
      <c r="O34" s="50"/>
      <c r="P34" s="129">
        <f>+N34-((N37/N38))</f>
        <v>1.0003211727805794</v>
      </c>
      <c r="Q34" s="50"/>
      <c r="R34" s="130" t="str">
        <f>IF(P34&gt;=0,"CUMPLE","NO CUMPLE")</f>
        <v>CUMPLE</v>
      </c>
      <c r="T34" s="51" t="s">
        <v>41</v>
      </c>
      <c r="U34" s="50"/>
      <c r="V34" s="64">
        <f>+$A34</f>
        <v>1.2</v>
      </c>
      <c r="W34" s="50"/>
      <c r="X34" s="129">
        <f>+V34-((V37/V38))</f>
        <v>-1.0950469445236168</v>
      </c>
      <c r="Y34" s="50"/>
      <c r="Z34" s="130" t="str">
        <f>IF(X34&gt;=0,"CUMPLE","NO CUMPLE")</f>
        <v>NO CUMPLE</v>
      </c>
      <c r="AB34" s="51" t="s">
        <v>41</v>
      </c>
      <c r="AC34" s="50"/>
      <c r="AD34" s="64">
        <f>+$A34</f>
        <v>1.2</v>
      </c>
      <c r="AE34" s="50"/>
      <c r="AF34" s="129">
        <f>+AD34-((AD37/AD38))</f>
        <v>0.8525413371047439</v>
      </c>
      <c r="AG34" s="50"/>
      <c r="AH34" s="130" t="str">
        <f>IF(AF34&gt;=0,"CUMPLE","NO CUMPLE")</f>
        <v>CUMPLE</v>
      </c>
      <c r="AJ34" s="51" t="s">
        <v>41</v>
      </c>
      <c r="AK34" s="50"/>
      <c r="AL34" s="64">
        <f>+$A34</f>
        <v>1.2</v>
      </c>
      <c r="AM34" s="50"/>
      <c r="AN34" s="129">
        <f>+AL34-((AL37/AL38))</f>
        <v>0.2775431930466987</v>
      </c>
      <c r="AO34" s="50"/>
      <c r="AP34" s="130" t="str">
        <f>IF(AN34&gt;=0,"CUMPLE","NO CUMPLE")</f>
        <v>CUMPLE</v>
      </c>
    </row>
    <row r="35" spans="1:42" ht="15" customHeight="1">
      <c r="A35" s="154"/>
      <c r="B35" s="152"/>
      <c r="C35" s="150"/>
      <c r="D35" s="60" t="s">
        <v>38</v>
      </c>
      <c r="E35" s="50"/>
      <c r="F35" s="55">
        <f>+F6</f>
        <v>1</v>
      </c>
      <c r="G35" s="50"/>
      <c r="H35" s="129"/>
      <c r="I35" s="50"/>
      <c r="J35" s="131"/>
      <c r="L35" s="60" t="s">
        <v>38</v>
      </c>
      <c r="M35" s="50"/>
      <c r="N35" s="55">
        <f>+N6</f>
        <v>0.13</v>
      </c>
      <c r="O35" s="50"/>
      <c r="P35" s="129"/>
      <c r="Q35" s="50"/>
      <c r="R35" s="131"/>
      <c r="T35" s="60" t="s">
        <v>38</v>
      </c>
      <c r="U35" s="50"/>
      <c r="V35" s="55">
        <f>+V6</f>
        <v>0.65</v>
      </c>
      <c r="W35" s="50"/>
      <c r="X35" s="129"/>
      <c r="Y35" s="50"/>
      <c r="Z35" s="131"/>
      <c r="AB35" s="60" t="s">
        <v>38</v>
      </c>
      <c r="AC35" s="50"/>
      <c r="AD35" s="55">
        <f>+AD6</f>
        <v>0.22</v>
      </c>
      <c r="AE35" s="50"/>
      <c r="AF35" s="129"/>
      <c r="AG35" s="50"/>
      <c r="AH35" s="131"/>
      <c r="AJ35" s="60" t="s">
        <v>38</v>
      </c>
      <c r="AK35" s="50"/>
      <c r="AL35" s="55">
        <f>+AL6</f>
        <v>1</v>
      </c>
      <c r="AM35" s="50"/>
      <c r="AN35" s="129"/>
      <c r="AO35" s="50"/>
      <c r="AP35" s="131"/>
    </row>
    <row r="36" spans="1:42" ht="15" customHeight="1">
      <c r="A36" s="154"/>
      <c r="B36" s="152"/>
      <c r="C36" s="150"/>
      <c r="D36" s="83" t="str">
        <f>+D30</f>
        <v>Presupuesto Oficial</v>
      </c>
      <c r="E36" s="50"/>
      <c r="F36" s="82">
        <f>+F30</f>
        <v>995000000</v>
      </c>
      <c r="G36" s="50"/>
      <c r="H36" s="129"/>
      <c r="I36" s="50"/>
      <c r="J36" s="131"/>
      <c r="L36" s="83" t="str">
        <f>+L30</f>
        <v>Presupuesto Oficial</v>
      </c>
      <c r="M36" s="50"/>
      <c r="N36" s="82">
        <f>+N30</f>
        <v>995000000</v>
      </c>
      <c r="O36" s="50"/>
      <c r="P36" s="129"/>
      <c r="Q36" s="50"/>
      <c r="R36" s="131"/>
      <c r="T36" s="83" t="str">
        <f>+T30</f>
        <v>Presupuesto Oficial</v>
      </c>
      <c r="U36" s="50"/>
      <c r="V36" s="82">
        <f>+V30</f>
        <v>995000000</v>
      </c>
      <c r="W36" s="50"/>
      <c r="X36" s="129"/>
      <c r="Y36" s="50"/>
      <c r="Z36" s="131"/>
      <c r="AB36" s="83" t="str">
        <f>+AB30</f>
        <v>Presupuesto Oficial</v>
      </c>
      <c r="AC36" s="50"/>
      <c r="AD36" s="82">
        <f>+AD30</f>
        <v>995000000</v>
      </c>
      <c r="AE36" s="50"/>
      <c r="AF36" s="129"/>
      <c r="AG36" s="50"/>
      <c r="AH36" s="131"/>
      <c r="AJ36" s="83" t="str">
        <f>+AJ30</f>
        <v>Presupuesto Oficial</v>
      </c>
      <c r="AK36" s="50"/>
      <c r="AL36" s="82">
        <f>+AL30</f>
        <v>995000000</v>
      </c>
      <c r="AM36" s="50"/>
      <c r="AN36" s="129"/>
      <c r="AO36" s="50"/>
      <c r="AP36" s="131"/>
    </row>
    <row r="37" spans="1:42" ht="12.75">
      <c r="A37" s="154"/>
      <c r="B37" s="152"/>
      <c r="C37" s="150"/>
      <c r="D37" s="97" t="str">
        <f>CONCATENATE("Participación en ",D36)</f>
        <v>Participación en Presupuesto Oficial</v>
      </c>
      <c r="E37" s="50"/>
      <c r="F37" s="65">
        <f>+F35*F36</f>
        <v>995000000</v>
      </c>
      <c r="G37" s="50"/>
      <c r="H37" s="129"/>
      <c r="I37" s="50"/>
      <c r="J37" s="131"/>
      <c r="L37" s="60" t="str">
        <f>CONCATENATE("Participación en ",L36)</f>
        <v>Participación en Presupuesto Oficial</v>
      </c>
      <c r="M37" s="50"/>
      <c r="N37" s="65">
        <f>+N35*N36</f>
        <v>129350000</v>
      </c>
      <c r="O37" s="50"/>
      <c r="P37" s="129"/>
      <c r="Q37" s="50"/>
      <c r="R37" s="131"/>
      <c r="T37" s="60" t="str">
        <f>CONCATENATE("Participación en ",T36)</f>
        <v>Participación en Presupuesto Oficial</v>
      </c>
      <c r="U37" s="50"/>
      <c r="V37" s="65">
        <f>+V35*V36</f>
        <v>646750000</v>
      </c>
      <c r="W37" s="50"/>
      <c r="X37" s="129"/>
      <c r="Y37" s="50"/>
      <c r="Z37" s="131"/>
      <c r="AB37" s="60" t="str">
        <f>CONCATENATE("Participación en ",AB36)</f>
        <v>Participación en Presupuesto Oficial</v>
      </c>
      <c r="AC37" s="50"/>
      <c r="AD37" s="65">
        <f>+AD35*AD36</f>
        <v>218900000</v>
      </c>
      <c r="AE37" s="50"/>
      <c r="AF37" s="129"/>
      <c r="AG37" s="50"/>
      <c r="AH37" s="131"/>
      <c r="AJ37" s="60" t="str">
        <f>CONCATENATE("Participación en ",AJ36)</f>
        <v>Participación en Presupuesto Oficial</v>
      </c>
      <c r="AK37" s="50"/>
      <c r="AL37" s="65">
        <f>+AL35*AL36</f>
        <v>995000000</v>
      </c>
      <c r="AM37" s="50"/>
      <c r="AN37" s="129"/>
      <c r="AO37" s="50"/>
      <c r="AP37" s="131"/>
    </row>
    <row r="38" spans="1:42" ht="13.5" thickBot="1">
      <c r="A38" s="154"/>
      <c r="B38" s="153"/>
      <c r="C38" s="150"/>
      <c r="D38" s="52" t="s">
        <v>42</v>
      </c>
      <c r="E38" s="50"/>
      <c r="F38" s="54">
        <f>+F14-F16</f>
        <v>496295223</v>
      </c>
      <c r="G38" s="50"/>
      <c r="H38" s="129"/>
      <c r="I38" s="50"/>
      <c r="J38" s="132"/>
      <c r="L38" s="52" t="s">
        <v>42</v>
      </c>
      <c r="M38" s="50"/>
      <c r="N38" s="54">
        <f>+N14-N16</f>
        <v>647790263</v>
      </c>
      <c r="O38" s="50"/>
      <c r="P38" s="129"/>
      <c r="Q38" s="50"/>
      <c r="R38" s="132"/>
      <c r="T38" s="52" t="s">
        <v>42</v>
      </c>
      <c r="U38" s="50"/>
      <c r="V38" s="54">
        <f>+V14-V16</f>
        <v>281802514.56</v>
      </c>
      <c r="W38" s="50"/>
      <c r="X38" s="129"/>
      <c r="Y38" s="50"/>
      <c r="Z38" s="132"/>
      <c r="AB38" s="52" t="s">
        <v>42</v>
      </c>
      <c r="AC38" s="50"/>
      <c r="AD38" s="54">
        <f>+AD14-AD16</f>
        <v>630003000</v>
      </c>
      <c r="AE38" s="50"/>
      <c r="AF38" s="129"/>
      <c r="AG38" s="50"/>
      <c r="AH38" s="132"/>
      <c r="AJ38" s="52" t="s">
        <v>42</v>
      </c>
      <c r="AK38" s="50"/>
      <c r="AL38" s="54">
        <f>+AL14-AL16</f>
        <v>1078641289.7599998</v>
      </c>
      <c r="AM38" s="50"/>
      <c r="AN38" s="129"/>
      <c r="AO38" s="50"/>
      <c r="AP38" s="132"/>
    </row>
    <row r="39" spans="1:42" ht="13.5" thickBot="1">
      <c r="A39" s="66"/>
      <c r="B39" s="78"/>
      <c r="C39" s="79"/>
      <c r="D39" s="78"/>
      <c r="E39" s="49"/>
      <c r="F39" s="49"/>
      <c r="G39" s="49"/>
      <c r="H39" s="49"/>
      <c r="I39" s="49"/>
      <c r="J39" s="79"/>
      <c r="L39" s="78"/>
      <c r="M39" s="49"/>
      <c r="N39" s="49"/>
      <c r="O39" s="49"/>
      <c r="P39" s="49"/>
      <c r="Q39" s="49"/>
      <c r="R39" s="79"/>
      <c r="T39" s="78"/>
      <c r="U39" s="49"/>
      <c r="V39" s="49"/>
      <c r="W39" s="49"/>
      <c r="X39" s="49"/>
      <c r="Y39" s="49"/>
      <c r="Z39" s="79"/>
      <c r="AB39" s="78"/>
      <c r="AC39" s="49"/>
      <c r="AD39" s="49"/>
      <c r="AE39" s="49"/>
      <c r="AF39" s="49"/>
      <c r="AG39" s="49"/>
      <c r="AH39" s="79"/>
      <c r="AJ39" s="78"/>
      <c r="AK39" s="49"/>
      <c r="AL39" s="49"/>
      <c r="AM39" s="49"/>
      <c r="AN39" s="49"/>
      <c r="AO39" s="49"/>
      <c r="AP39" s="79"/>
    </row>
    <row r="42" ht="13.5" thickBot="1">
      <c r="F42" s="111"/>
    </row>
    <row r="43" spans="6:18" ht="19.5" customHeight="1" thickBot="1">
      <c r="F43" s="111"/>
      <c r="L43" s="140" t="s">
        <v>71</v>
      </c>
      <c r="M43" s="141"/>
      <c r="N43" s="141"/>
      <c r="O43" s="141"/>
      <c r="P43" s="141"/>
      <c r="Q43" s="141"/>
      <c r="R43" s="142"/>
    </row>
    <row r="44" spans="12:18" ht="13.5" thickBot="1">
      <c r="L44" s="72"/>
      <c r="M44" s="95"/>
      <c r="N44" s="95"/>
      <c r="O44" s="95"/>
      <c r="P44" s="95"/>
      <c r="Q44" s="95"/>
      <c r="R44" s="96"/>
    </row>
    <row r="45" spans="12:18" ht="12.75">
      <c r="L45" s="57" t="s">
        <v>25</v>
      </c>
      <c r="M45" s="50"/>
      <c r="N45" s="56">
        <f>+N13+V13+AD13</f>
        <v>860374840</v>
      </c>
      <c r="O45" s="50"/>
      <c r="P45" s="143">
        <f>+N45/N46</f>
        <v>7.490765189674829</v>
      </c>
      <c r="Q45" s="50"/>
      <c r="R45" s="134" t="str">
        <f>IF(N45="","",IF(P45&gt;=A23,"CUMPLE","NO CUMPLE"))</f>
        <v>CUMPLE</v>
      </c>
    </row>
    <row r="46" spans="12:18" ht="13.5" thickBot="1">
      <c r="L46" s="58" t="s">
        <v>26</v>
      </c>
      <c r="M46" s="50"/>
      <c r="N46" s="70">
        <f>+N15+V15+AD15</f>
        <v>114858071</v>
      </c>
      <c r="O46" s="50"/>
      <c r="P46" s="143"/>
      <c r="Q46" s="50"/>
      <c r="R46" s="134"/>
    </row>
    <row r="47" spans="12:18" ht="13.5" thickBot="1">
      <c r="L47" s="73"/>
      <c r="M47" s="50"/>
      <c r="N47" s="50"/>
      <c r="O47" s="50"/>
      <c r="P47" s="50"/>
      <c r="Q47" s="50"/>
      <c r="R47" s="75"/>
    </row>
    <row r="48" spans="12:18" ht="12.75">
      <c r="L48" s="57" t="s">
        <v>30</v>
      </c>
      <c r="M48" s="50"/>
      <c r="N48" s="56">
        <f>+N16+V16+AD16</f>
        <v>114858071</v>
      </c>
      <c r="O48" s="50"/>
      <c r="P48" s="133">
        <f>+N48/N49</f>
        <v>0.06859434859836588</v>
      </c>
      <c r="Q48" s="50"/>
      <c r="R48" s="134" t="str">
        <f>IF(N48="","",IF(P48&lt;=A26,"CUMPLE","NO CUMPLE"))</f>
        <v>CUMPLE</v>
      </c>
    </row>
    <row r="49" spans="12:18" ht="13.5" thickBot="1">
      <c r="L49" s="58" t="s">
        <v>29</v>
      </c>
      <c r="M49" s="50"/>
      <c r="N49" s="70">
        <f>+N14+V14+AD14</f>
        <v>1674453848.56</v>
      </c>
      <c r="O49" s="50"/>
      <c r="P49" s="133"/>
      <c r="Q49" s="50"/>
      <c r="R49" s="134"/>
    </row>
    <row r="50" spans="12:18" ht="13.5" thickBot="1">
      <c r="L50" s="73"/>
      <c r="M50" s="50"/>
      <c r="N50" s="50"/>
      <c r="O50" s="50"/>
      <c r="P50" s="50"/>
      <c r="Q50" s="50"/>
      <c r="R50" s="75"/>
    </row>
    <row r="51" spans="12:18" ht="12.75">
      <c r="L51" s="59" t="s">
        <v>37</v>
      </c>
      <c r="M51" s="50"/>
      <c r="N51" s="56">
        <f>+N45-N46</f>
        <v>745516769</v>
      </c>
      <c r="O51" s="50"/>
      <c r="P51" s="135">
        <f>+(N51)-(N53*N52)</f>
        <v>447016769</v>
      </c>
      <c r="Q51" s="50"/>
      <c r="R51" s="134" t="str">
        <f>IF(P51&gt;=0,"CUMPLE","NO CUMPLE")</f>
        <v>CUMPLE</v>
      </c>
    </row>
    <row r="52" spans="12:18" ht="12.75">
      <c r="L52" s="80" t="str">
        <f>+$B$14</f>
        <v>Presupuesto Oficial</v>
      </c>
      <c r="M52" s="50"/>
      <c r="N52" s="81">
        <f>+R3</f>
        <v>995000000</v>
      </c>
      <c r="O52" s="50"/>
      <c r="P52" s="136"/>
      <c r="Q52" s="50"/>
      <c r="R52" s="134"/>
    </row>
    <row r="53" spans="12:18" ht="13.5" thickBot="1">
      <c r="L53" s="93" t="s">
        <v>41</v>
      </c>
      <c r="M53" s="50"/>
      <c r="N53" s="94">
        <f>+$A$29</f>
        <v>0.3</v>
      </c>
      <c r="O53" s="50"/>
      <c r="P53" s="137"/>
      <c r="Q53" s="50"/>
      <c r="R53" s="134"/>
    </row>
    <row r="54" spans="12:18" ht="12.75">
      <c r="L54" s="73"/>
      <c r="M54" s="50"/>
      <c r="N54" s="63"/>
      <c r="O54" s="50"/>
      <c r="P54" s="62"/>
      <c r="Q54" s="50"/>
      <c r="R54" s="77"/>
    </row>
    <row r="55" spans="12:18" ht="13.5" thickBot="1">
      <c r="L55" s="73"/>
      <c r="M55" s="50"/>
      <c r="N55" s="50"/>
      <c r="O55" s="50"/>
      <c r="P55" s="50"/>
      <c r="Q55" s="50"/>
      <c r="R55" s="74"/>
    </row>
    <row r="56" spans="12:18" ht="12.75">
      <c r="L56" s="51" t="s">
        <v>41</v>
      </c>
      <c r="M56" s="50"/>
      <c r="N56" s="64">
        <v>1.2</v>
      </c>
      <c r="O56" s="50"/>
      <c r="P56" s="129">
        <f>+N56-((N59/N60))</f>
        <v>0.5620141742389906</v>
      </c>
      <c r="Q56" s="50"/>
      <c r="R56" s="130" t="str">
        <f>IF(P56&gt;=0,"CUMPLE","NO CUMPLE")</f>
        <v>CUMPLE</v>
      </c>
    </row>
    <row r="57" spans="12:18" ht="12.75">
      <c r="L57" s="60" t="s">
        <v>38</v>
      </c>
      <c r="M57" s="50"/>
      <c r="N57" s="55">
        <v>1</v>
      </c>
      <c r="O57" s="50"/>
      <c r="P57" s="129"/>
      <c r="Q57" s="50"/>
      <c r="R57" s="131"/>
    </row>
    <row r="58" spans="12:18" ht="12.75">
      <c r="L58" s="83" t="str">
        <f>+L52</f>
        <v>Presupuesto Oficial</v>
      </c>
      <c r="M58" s="50"/>
      <c r="N58" s="82">
        <f>+R3</f>
        <v>995000000</v>
      </c>
      <c r="O58" s="50"/>
      <c r="P58" s="129"/>
      <c r="Q58" s="50"/>
      <c r="R58" s="131"/>
    </row>
    <row r="59" spans="12:18" ht="12.75">
      <c r="L59" s="60" t="str">
        <f>CONCATENATE("Participación en ",L58)</f>
        <v>Participación en Presupuesto Oficial</v>
      </c>
      <c r="M59" s="50"/>
      <c r="N59" s="65">
        <f>+N57*N58</f>
        <v>995000000</v>
      </c>
      <c r="O59" s="50"/>
      <c r="P59" s="129"/>
      <c r="Q59" s="50"/>
      <c r="R59" s="131"/>
    </row>
    <row r="60" spans="12:18" ht="13.5" thickBot="1">
      <c r="L60" s="52" t="s">
        <v>42</v>
      </c>
      <c r="M60" s="50"/>
      <c r="N60" s="54">
        <f>+N38+V38+AD38</f>
        <v>1559595777.56</v>
      </c>
      <c r="O60" s="50"/>
      <c r="P60" s="129"/>
      <c r="Q60" s="50"/>
      <c r="R60" s="132"/>
    </row>
    <row r="61" spans="12:18" ht="13.5" thickBot="1">
      <c r="L61" s="78"/>
      <c r="M61" s="49"/>
      <c r="N61" s="49"/>
      <c r="O61" s="49"/>
      <c r="P61" s="49"/>
      <c r="Q61" s="49"/>
      <c r="R61" s="79"/>
    </row>
    <row r="97" ht="12.75">
      <c r="C97" t="str">
        <f>VLOOKUP($A$11,COMBINACIONES!$B$4:$D$20,2,0)</f>
        <v>Con anticipo sin restricciones.</v>
      </c>
    </row>
    <row r="98" ht="12.75">
      <c r="C98" t="str">
        <f>VLOOKUP($A$11,COMBINACIONES!$B$4:$D$20,3,0)</f>
        <v>Proveeduría de servicios.</v>
      </c>
    </row>
    <row r="305" ht="12.75">
      <c r="C305" s="67" t="s">
        <v>43</v>
      </c>
    </row>
    <row r="306" ht="12.75">
      <c r="C306" s="67" t="s">
        <v>44</v>
      </c>
    </row>
    <row r="307" spans="3:8" ht="12.75">
      <c r="C307" s="67" t="s">
        <v>50</v>
      </c>
      <c r="D307" t="s">
        <v>52</v>
      </c>
      <c r="F307" t="str">
        <f>+B14</f>
        <v>Presupuesto Oficial</v>
      </c>
      <c r="H307" t="s">
        <v>53</v>
      </c>
    </row>
    <row r="308" spans="3:6" ht="12.75">
      <c r="C308" s="67" t="s">
        <v>54</v>
      </c>
      <c r="D308" t="str">
        <f>+F307</f>
        <v>Presupuesto Oficial</v>
      </c>
      <c r="F308" t="s">
        <v>55</v>
      </c>
    </row>
    <row r="309" spans="3:8" ht="25.5">
      <c r="C309" s="67" t="s">
        <v>49</v>
      </c>
      <c r="D309" t="s">
        <v>56</v>
      </c>
      <c r="F309" t="str">
        <f>+F307</f>
        <v>Presupuesto Oficial</v>
      </c>
      <c r="H309" t="s">
        <v>57</v>
      </c>
    </row>
    <row r="311" ht="12.75" customHeight="1"/>
    <row r="312" ht="12.75">
      <c r="C312" s="69"/>
    </row>
    <row r="313" ht="12.75">
      <c r="C313" s="68"/>
    </row>
    <row r="314" ht="12.75">
      <c r="C314" s="61"/>
    </row>
    <row r="316" ht="12.75" customHeight="1"/>
    <row r="317" ht="12.75">
      <c r="C317" s="69"/>
    </row>
    <row r="318" ht="12.75">
      <c r="C318" s="69"/>
    </row>
    <row r="319" ht="12.75">
      <c r="C319" s="68"/>
    </row>
    <row r="322" ht="12.75" customHeight="1"/>
    <row r="323" ht="12.75">
      <c r="C323" s="68"/>
    </row>
  </sheetData>
  <sheetProtection selectLockedCells="1"/>
  <mergeCells count="84">
    <mergeCell ref="AN12:AP12"/>
    <mergeCell ref="D12:F12"/>
    <mergeCell ref="H12:J12"/>
    <mergeCell ref="L12:N12"/>
    <mergeCell ref="P12:R12"/>
    <mergeCell ref="T12:V12"/>
    <mergeCell ref="X12:Z12"/>
    <mergeCell ref="AB12:AD12"/>
    <mergeCell ref="AF12:AH12"/>
    <mergeCell ref="AJ12:AL12"/>
    <mergeCell ref="L5:R5"/>
    <mergeCell ref="T5:Z5"/>
    <mergeCell ref="AB5:AH5"/>
    <mergeCell ref="AJ5:AP5"/>
    <mergeCell ref="A23:A24"/>
    <mergeCell ref="A26:A27"/>
    <mergeCell ref="H29:H31"/>
    <mergeCell ref="D5:J5"/>
    <mergeCell ref="A29:A31"/>
    <mergeCell ref="J29:J31"/>
    <mergeCell ref="C23:C24"/>
    <mergeCell ref="C26:C27"/>
    <mergeCell ref="C34:C38"/>
    <mergeCell ref="B34:B38"/>
    <mergeCell ref="A34:A38"/>
    <mergeCell ref="B29:B31"/>
    <mergeCell ref="C29:C31"/>
    <mergeCell ref="H34:H38"/>
    <mergeCell ref="B11:C11"/>
    <mergeCell ref="D21:J21"/>
    <mergeCell ref="J34:J38"/>
    <mergeCell ref="H23:H24"/>
    <mergeCell ref="J23:J24"/>
    <mergeCell ref="B23:B24"/>
    <mergeCell ref="B26:B27"/>
    <mergeCell ref="H26:H27"/>
    <mergeCell ref="J26:J27"/>
    <mergeCell ref="P23:P24"/>
    <mergeCell ref="R23:R24"/>
    <mergeCell ref="P26:P27"/>
    <mergeCell ref="R26:R27"/>
    <mergeCell ref="T21:Z21"/>
    <mergeCell ref="X23:X24"/>
    <mergeCell ref="Z23:Z24"/>
    <mergeCell ref="X26:X27"/>
    <mergeCell ref="Z26:Z27"/>
    <mergeCell ref="X29:X31"/>
    <mergeCell ref="Z29:Z31"/>
    <mergeCell ref="X34:X38"/>
    <mergeCell ref="Z34:Z38"/>
    <mergeCell ref="AB21:AH21"/>
    <mergeCell ref="AF23:AF24"/>
    <mergeCell ref="AH23:AH24"/>
    <mergeCell ref="AF26:AF27"/>
    <mergeCell ref="AH26:AH27"/>
    <mergeCell ref="AF29:AF31"/>
    <mergeCell ref="AH29:AH31"/>
    <mergeCell ref="AF34:AF38"/>
    <mergeCell ref="AH34:AH38"/>
    <mergeCell ref="AN34:AN38"/>
    <mergeCell ref="AP34:AP38"/>
    <mergeCell ref="AJ21:AP21"/>
    <mergeCell ref="AN23:AN24"/>
    <mergeCell ref="AP23:AP24"/>
    <mergeCell ref="AN26:AN27"/>
    <mergeCell ref="AP26:AP27"/>
    <mergeCell ref="AN29:AN31"/>
    <mergeCell ref="AP29:AP31"/>
    <mergeCell ref="A2:C2"/>
    <mergeCell ref="A1:C1"/>
    <mergeCell ref="L43:R43"/>
    <mergeCell ref="P45:P46"/>
    <mergeCell ref="R45:R46"/>
    <mergeCell ref="P29:P31"/>
    <mergeCell ref="R29:R31"/>
    <mergeCell ref="P34:P38"/>
    <mergeCell ref="R34:R38"/>
    <mergeCell ref="L21:R21"/>
    <mergeCell ref="P56:P60"/>
    <mergeCell ref="R56:R60"/>
    <mergeCell ref="P48:P49"/>
    <mergeCell ref="R48:R49"/>
    <mergeCell ref="P51:P53"/>
    <mergeCell ref="R51:R53"/>
  </mergeCells>
  <printOptions/>
  <pageMargins left="0.58" right="0.29" top="0.6299212598425197" bottom="0.54" header="0" footer="0"/>
  <pageSetup horizontalDpi="600" verticalDpi="600" orientation="landscape" scale="71" r:id="rId1"/>
  <colBreaks count="2" manualBreakCount="2">
    <brk id="10" max="65535" man="1"/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AFinanciera</dc:creator>
  <cp:keywords/>
  <dc:description/>
  <cp:lastModifiedBy>pvicerrec11</cp:lastModifiedBy>
  <cp:lastPrinted>2009-04-21T21:07:20Z</cp:lastPrinted>
  <dcterms:created xsi:type="dcterms:W3CDTF">2008-12-23T19:33:14Z</dcterms:created>
  <dcterms:modified xsi:type="dcterms:W3CDTF">2009-06-24T17:30:22Z</dcterms:modified>
  <cp:category/>
  <cp:version/>
  <cp:contentType/>
  <cp:contentStatus/>
</cp:coreProperties>
</file>