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COMBINACIONES" sheetId="1" r:id="rId1"/>
    <sheet name="PARAMETROS" sheetId="2" r:id="rId2"/>
    <sheet name="EVALUA-1" sheetId="3" r:id="rId3"/>
    <sheet name="Hoja3" sheetId="4" r:id="rId4"/>
  </sheets>
  <definedNames>
    <definedName name="_xlnm.Print_Area" localSheetId="0">'COMBINACIONES'!$A$1:$J$21</definedName>
    <definedName name="_xlnm.Print_Area" localSheetId="1">'PARAMETROS'!$A$1:$I$39</definedName>
    <definedName name="_xlnm.Print_Titles" localSheetId="2">'EVALUA-1'!$1:$2</definedName>
  </definedNames>
  <calcPr fullCalcOnLoad="1"/>
</workbook>
</file>

<file path=xl/sharedStrings.xml><?xml version="1.0" encoding="utf-8"?>
<sst xmlns="http://schemas.openxmlformats.org/spreadsheetml/2006/main" count="278" uniqueCount="102">
  <si>
    <t>Con anticipo sin restricciones.</t>
  </si>
  <si>
    <t>Con anticipo cuenta compartida.</t>
  </si>
  <si>
    <t>Pago contra entrega.</t>
  </si>
  <si>
    <t>Proveeduría de bienes.</t>
  </si>
  <si>
    <t>Proveeduría de servicios.</t>
  </si>
  <si>
    <t>NRO</t>
  </si>
  <si>
    <t>PAGO</t>
  </si>
  <si>
    <t>OBJETO</t>
  </si>
  <si>
    <t>Razon Corriente</t>
  </si>
  <si>
    <t>Endeudamiento</t>
  </si>
  <si>
    <t>Soporte Histórico de Ingresos</t>
  </si>
  <si>
    <t>Soporte con Capital de Trabajo</t>
  </si>
  <si>
    <t>Soporte con Relación Patrimonial</t>
  </si>
  <si>
    <t>CLASE</t>
  </si>
  <si>
    <t>FORMA DE PAGO</t>
  </si>
  <si>
    <t>OBJETO CONTRACTUAL</t>
  </si>
  <si>
    <t>COMBINACION 1 - 4</t>
  </si>
  <si>
    <t>COMBINACION 1 - 5</t>
  </si>
  <si>
    <t>COMBINACION 1 - 6</t>
  </si>
  <si>
    <t>COMBINACION 2 - 4</t>
  </si>
  <si>
    <t>COMBINACION 2 - 5</t>
  </si>
  <si>
    <t>COMBINACION 2 - 6</t>
  </si>
  <si>
    <t>COMBINACION 3 - 4</t>
  </si>
  <si>
    <t>COMBINACION 3 - 5</t>
  </si>
  <si>
    <t>COMBINACION 3 - 6</t>
  </si>
  <si>
    <t>ACTIVO CORRIENTE</t>
  </si>
  <si>
    <t>PASIVO CORRIENTE</t>
  </si>
  <si>
    <t>RAZON CORRIENTE</t>
  </si>
  <si>
    <t>ENDEUDAMIENTO</t>
  </si>
  <si>
    <t>ACTIVO TOTAL</t>
  </si>
  <si>
    <t>PASIVO TOTAL</t>
  </si>
  <si>
    <t xml:space="preserve">Riesgo de 0,6 a 0,8 </t>
  </si>
  <si>
    <t xml:space="preserve">Riesgo de 50% a 10% </t>
  </si>
  <si>
    <t xml:space="preserve">Riesgo de 1,6 a 1,2 </t>
  </si>
  <si>
    <t>COMBINACION NUMERO 1 a 9</t>
  </si>
  <si>
    <t>SOPORTE CON CAPITAL DE TRABAJO  (SCT)</t>
  </si>
  <si>
    <t>SOPORTE CON RELACIÓN PATRIMONIAL (SRP)</t>
  </si>
  <si>
    <t>ACTIVO CTE  -  PASIVO CTE</t>
  </si>
  <si>
    <t>% Participacion</t>
  </si>
  <si>
    <r>
      <t xml:space="preserve">  O</t>
    </r>
    <r>
      <rPr>
        <sz val="7"/>
        <rFont val="Arial"/>
        <family val="0"/>
      </rPr>
      <t xml:space="preserve">ferta / </t>
    </r>
    <r>
      <rPr>
        <sz val="7"/>
        <color indexed="12"/>
        <rFont val="Arial"/>
        <family val="2"/>
      </rPr>
      <t>P</t>
    </r>
    <r>
      <rPr>
        <sz val="7"/>
        <rFont val="Arial"/>
        <family val="0"/>
      </rPr>
      <t>resupuesto</t>
    </r>
  </si>
  <si>
    <t>% Participación</t>
  </si>
  <si>
    <t>Indicador</t>
  </si>
  <si>
    <t>Patrimonio</t>
  </si>
  <si>
    <t xml:space="preserve">Activo corriente / Pasivo corriente &gt;= </t>
  </si>
  <si>
    <t xml:space="preserve">Pasivo total / Activo total  &lt;= </t>
  </si>
  <si>
    <t>PROPONENTE ------&gt;</t>
  </si>
  <si>
    <t>Valor Ofertado</t>
  </si>
  <si>
    <t xml:space="preserve">Riesgo de 1,0 a 0,2 </t>
  </si>
  <si>
    <t>Duracion Contrato (Meses)</t>
  </si>
  <si>
    <t xml:space="preserve">Riesgo de 1,5 a 1,0 </t>
  </si>
  <si>
    <t xml:space="preserve">( (Ventas netas año 1 + ventas netas año 2)  /  2 ) -  (( 12/Meses Contrato) X </t>
  </si>
  <si>
    <r>
      <t xml:space="preserve">(Activo corriente - Pasivo corriente) - (  </t>
    </r>
  </si>
  <si>
    <t>Adecuación y Remodelación</t>
  </si>
  <si>
    <t xml:space="preserve"> * </t>
  </si>
  <si>
    <t>) = SCT</t>
  </si>
  <si>
    <t>) / Patrimonio ) = SRP</t>
  </si>
  <si>
    <t xml:space="preserve">  X  % Participacion X </t>
  </si>
  <si>
    <t>)   =   S.H.I</t>
  </si>
  <si>
    <t>P</t>
  </si>
  <si>
    <t>BALANCE A DICIEMBRE 31 DE 2008</t>
  </si>
  <si>
    <t>TOTAL PATRIMONIO</t>
  </si>
  <si>
    <t>TOTAL PATRIM LIQUIDO</t>
  </si>
  <si>
    <t>CONCILIACION FOLIO</t>
  </si>
  <si>
    <t>PATRIMONIO LIQUIDO AJUSTADO</t>
  </si>
  <si>
    <t>DIFERENCIA</t>
  </si>
  <si>
    <t>VALORIZACIONES</t>
  </si>
  <si>
    <t>PORCENTAJE</t>
  </si>
  <si>
    <t>VERIFICACION  DE LA INFORMACION  FINANCIERA  VS  DECLARACION  RENTA &lt;= 0,5%</t>
  </si>
  <si>
    <t>ESTADOS FINANCIEROS  2008 3 FIRMAS</t>
  </si>
  <si>
    <t>ESTADOS FINANCIEROS  2007 3 FIRMAS</t>
  </si>
  <si>
    <t>CERTIFIC VIGENTE CONTADOR</t>
  </si>
  <si>
    <t>CERTIFIC VIGENTE REV FISCAL</t>
  </si>
  <si>
    <t>INGRESOS CONTABLES 2008</t>
  </si>
  <si>
    <t>TOTAL PATRIMONIO 2008</t>
  </si>
  <si>
    <t>TOTAL PATRIMONIO 2007</t>
  </si>
  <si>
    <t>INGRESOS CONTABLES 2007</t>
  </si>
  <si>
    <t>INGRESOS FISCALES 2007</t>
  </si>
  <si>
    <t>DECLARACION RENTA 2007</t>
  </si>
  <si>
    <t>X</t>
  </si>
  <si>
    <t>)  = &lt; RP</t>
  </si>
  <si>
    <t>CERTIF. REVISOR FISCAL</t>
  </si>
  <si>
    <r>
      <t xml:space="preserve">Con anticipo sin restricciones - </t>
    </r>
    <r>
      <rPr>
        <b/>
        <sz val="10"/>
        <color indexed="10"/>
        <rFont val="Arial"/>
        <family val="2"/>
      </rPr>
      <t>Proveeduria de bienes</t>
    </r>
  </si>
  <si>
    <t xml:space="preserve">OBSERVACION : </t>
  </si>
  <si>
    <t>GESTION INTEGRAL ENERGETICA S,A,</t>
  </si>
  <si>
    <t>GERMAN HUMBERTO CAMACHO LADINO</t>
  </si>
  <si>
    <t>ENITH ROJAS PANQUEBA</t>
  </si>
  <si>
    <t>26-27</t>
  </si>
  <si>
    <t>CONTROLES Y  AUTOMATIZACION S.A.</t>
  </si>
  <si>
    <t>ALFREDO CORDERO JAIME</t>
  </si>
  <si>
    <t>LUIS MARIA ALBA CARDENAS</t>
  </si>
  <si>
    <t>CONSORCIO OBRAS</t>
  </si>
  <si>
    <t>HACER DE COLOMBIA LTDA</t>
  </si>
  <si>
    <t xml:space="preserve">OBRAS Y DISEÑOS S.A </t>
  </si>
  <si>
    <t>JORGE IVAN OSORIO PINEDA</t>
  </si>
  <si>
    <t>ELBER ORLANDO CALLEJAS CHAPETON</t>
  </si>
  <si>
    <t>MARTHA H. PEREZ ALVARADO</t>
  </si>
  <si>
    <t>MARIA EUGENIA CORREA</t>
  </si>
  <si>
    <t>67 A 70</t>
  </si>
  <si>
    <t>CONTRATACION  DIRECTA No.346 DE 2009</t>
  </si>
  <si>
    <t>GESTION INTEGRAL ENERGETICA S.A.</t>
  </si>
  <si>
    <t>ENITH ROJAS PANQUEVA</t>
  </si>
  <si>
    <t>Contratar el suministro e instalación de los elementos necesarios para realizar la repotencialización de la subestación de  la torre administrativa, adecuación electrica, modernizacion y normalización de la subestación de la sede Macarena A, reacondicionamiento tablero geneal de baja tención de la mencionada sede y traslado de trasformador de 225 kva a la subestación de la sede ASAB de la Universidad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</si>
</sst>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[$-C0A]dddd\,\ dd&quot; de &quot;mmmm&quot; de &quot;yyyy"/>
    <numFmt numFmtId="192" formatCode="[$-C0A]d\-mmm\-yy;@"/>
    <numFmt numFmtId="193" formatCode="#,##0.00;[Red]#,##0.00"/>
    <numFmt numFmtId="194" formatCode="#,##0.00\ _€"/>
    <numFmt numFmtId="195" formatCode="_-* #,##0.0\ _€_-;\-* #,##0.0\ _€_-;_-* &quot;-&quot;??\ _€_-;_-@_-"/>
  </numFmts>
  <fonts count="21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Verdana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 Narrow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9" fontId="1" fillId="0" borderId="1" xfId="21" applyFont="1" applyBorder="1" applyAlignment="1">
      <alignment horizontal="center" vertical="center" wrapText="1"/>
    </xf>
    <xf numFmtId="9" fontId="1" fillId="0" borderId="0" xfId="2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3" fontId="0" fillId="4" borderId="19" xfId="0" applyNumberFormat="1" applyFill="1" applyBorder="1" applyAlignment="1">
      <alignment/>
    </xf>
    <xf numFmtId="9" fontId="0" fillId="4" borderId="21" xfId="0" applyNumberFormat="1" applyFill="1" applyBorder="1" applyAlignment="1">
      <alignment/>
    </xf>
    <xf numFmtId="3" fontId="0" fillId="4" borderId="18" xfId="0" applyNumberFormat="1" applyFill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8" fillId="0" borderId="21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176" fontId="0" fillId="4" borderId="18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0" fillId="4" borderId="19" xfId="0" applyNumberFormat="1" applyFill="1" applyBorder="1" applyAlignment="1">
      <alignment vertical="center"/>
    </xf>
    <xf numFmtId="3" fontId="0" fillId="5" borderId="21" xfId="0" applyNumberFormat="1" applyFill="1" applyBorder="1" applyAlignment="1" applyProtection="1">
      <alignment/>
      <protection locked="0"/>
    </xf>
    <xf numFmtId="3" fontId="0" fillId="5" borderId="19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3" fontId="0" fillId="0" borderId="25" xfId="0" applyNumberFormat="1" applyBorder="1" applyAlignment="1">
      <alignment/>
    </xf>
    <xf numFmtId="3" fontId="0" fillId="4" borderId="25" xfId="21" applyNumberFormat="1" applyFill="1" applyBorder="1" applyAlignment="1">
      <alignment/>
    </xf>
    <xf numFmtId="3" fontId="0" fillId="4" borderId="21" xfId="21" applyNumberFormat="1" applyFill="1" applyBorder="1" applyAlignment="1">
      <alignment/>
    </xf>
    <xf numFmtId="3" fontId="0" fillId="0" borderId="21" xfId="0" applyNumberFormat="1" applyBorder="1" applyAlignment="1">
      <alignment/>
    </xf>
    <xf numFmtId="0" fontId="5" fillId="5" borderId="2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1" fillId="0" borderId="0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9" fontId="0" fillId="4" borderId="19" xfId="2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1" xfId="0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3" fontId="5" fillId="6" borderId="1" xfId="0" applyNumberFormat="1" applyFont="1" applyFill="1" applyBorder="1" applyAlignment="1" applyProtection="1">
      <alignment/>
      <protection/>
    </xf>
    <xf numFmtId="0" fontId="0" fillId="7" borderId="14" xfId="0" applyFill="1" applyBorder="1" applyAlignment="1">
      <alignment horizontal="center"/>
    </xf>
    <xf numFmtId="0" fontId="10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5" xfId="0" applyFont="1" applyBorder="1" applyAlignment="1">
      <alignment/>
    </xf>
    <xf numFmtId="9" fontId="0" fillId="5" borderId="6" xfId="2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8" fillId="0" borderId="26" xfId="0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0" fillId="5" borderId="28" xfId="0" applyNumberFormat="1" applyFill="1" applyBorder="1" applyAlignment="1" applyProtection="1">
      <alignment/>
      <protection locked="0"/>
    </xf>
    <xf numFmtId="3" fontId="0" fillId="0" borderId="28" xfId="0" applyNumberFormat="1" applyFill="1" applyBorder="1" applyAlignment="1" applyProtection="1">
      <alignment/>
      <protection locked="0"/>
    </xf>
    <xf numFmtId="3" fontId="0" fillId="5" borderId="29" xfId="0" applyNumberFormat="1" applyFill="1" applyBorder="1" applyAlignment="1" applyProtection="1">
      <alignment/>
      <protection locked="0"/>
    </xf>
    <xf numFmtId="3" fontId="5" fillId="5" borderId="30" xfId="0" applyNumberFormat="1" applyFont="1" applyFill="1" applyBorder="1" applyAlignment="1" applyProtection="1">
      <alignment/>
      <protection locked="0"/>
    </xf>
    <xf numFmtId="0" fontId="8" fillId="0" borderId="14" xfId="0" applyFont="1" applyBorder="1" applyAlignment="1">
      <alignment/>
    </xf>
    <xf numFmtId="9" fontId="0" fillId="5" borderId="13" xfId="21" applyFont="1" applyFill="1" applyBorder="1" applyAlignment="1" applyProtection="1">
      <alignment/>
      <protection locked="0"/>
    </xf>
    <xf numFmtId="14" fontId="0" fillId="5" borderId="13" xfId="21" applyNumberFormat="1" applyFont="1" applyFill="1" applyBorder="1" applyAlignment="1" applyProtection="1">
      <alignment/>
      <protection locked="0"/>
    </xf>
    <xf numFmtId="9" fontId="0" fillId="5" borderId="13" xfId="21" applyFill="1" applyBorder="1" applyAlignment="1" applyProtection="1">
      <alignment/>
      <protection locked="0"/>
    </xf>
    <xf numFmtId="0" fontId="3" fillId="0" borderId="5" xfId="0" applyFont="1" applyBorder="1" applyAlignment="1">
      <alignment/>
    </xf>
    <xf numFmtId="0" fontId="0" fillId="0" borderId="16" xfId="0" applyBorder="1" applyAlignment="1">
      <alignment/>
    </xf>
    <xf numFmtId="9" fontId="0" fillId="0" borderId="6" xfId="21" applyFill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0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0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8" fillId="0" borderId="32" xfId="0" applyFont="1" applyBorder="1" applyAlignment="1">
      <alignment/>
    </xf>
    <xf numFmtId="3" fontId="0" fillId="0" borderId="33" xfId="0" applyNumberFormat="1" applyFill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9" fontId="0" fillId="5" borderId="12" xfId="21" applyFill="1" applyBorder="1" applyAlignment="1" applyProtection="1">
      <alignment/>
      <protection locked="0"/>
    </xf>
    <xf numFmtId="0" fontId="8" fillId="0" borderId="27" xfId="0" applyFont="1" applyBorder="1" applyAlignment="1">
      <alignment/>
    </xf>
    <xf numFmtId="3" fontId="0" fillId="0" borderId="29" xfId="0" applyNumberFormat="1" applyFill="1" applyBorder="1" applyAlignment="1" applyProtection="1">
      <alignment/>
      <protection locked="0"/>
    </xf>
    <xf numFmtId="3" fontId="0" fillId="5" borderId="13" xfId="0" applyNumberFormat="1" applyFill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34" xfId="0" applyNumberFormat="1" applyFill="1" applyBorder="1" applyAlignment="1" applyProtection="1">
      <alignment/>
      <protection locked="0"/>
    </xf>
    <xf numFmtId="15" fontId="0" fillId="5" borderId="13" xfId="21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2" fontId="0" fillId="4" borderId="1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5" borderId="28" xfId="0" applyNumberFormat="1" applyFill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76" fontId="0" fillId="0" borderId="37" xfId="0" applyNumberForma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0" fontId="5" fillId="8" borderId="38" xfId="0" applyFont="1" applyFill="1" applyBorder="1" applyAlignment="1" applyProtection="1">
      <alignment horizontal="center"/>
      <protection locked="0"/>
    </xf>
    <xf numFmtId="0" fontId="5" fillId="8" borderId="39" xfId="0" applyFont="1" applyFill="1" applyBorder="1" applyAlignment="1" applyProtection="1">
      <alignment horizontal="center"/>
      <protection locked="0"/>
    </xf>
    <xf numFmtId="0" fontId="5" fillId="8" borderId="40" xfId="0" applyFont="1" applyFill="1" applyBorder="1" applyAlignment="1" applyProtection="1">
      <alignment horizontal="center"/>
      <protection locked="0"/>
    </xf>
    <xf numFmtId="180" fontId="0" fillId="0" borderId="37" xfId="0" applyNumberFormat="1" applyBorder="1" applyAlignment="1">
      <alignment horizontal="center" vertical="center"/>
    </xf>
    <xf numFmtId="180" fontId="0" fillId="0" borderId="41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71" fontId="0" fillId="0" borderId="1" xfId="17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9" fillId="3" borderId="0" xfId="0" applyNumberFormat="1" applyFont="1" applyFill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8" borderId="2" xfId="0" applyFont="1" applyFill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center"/>
      <protection locked="0"/>
    </xf>
    <xf numFmtId="176" fontId="9" fillId="3" borderId="0" xfId="0" applyNumberFormat="1" applyFont="1" applyFill="1" applyAlignment="1">
      <alignment horizontal="center" vertical="center" wrapText="1"/>
    </xf>
    <xf numFmtId="9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9" fontId="9" fillId="3" borderId="0" xfId="2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176" fontId="0" fillId="0" borderId="1" xfId="0" applyNumberForma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1" fontId="0" fillId="0" borderId="1" xfId="17" applyNumberForma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D14" sqref="D14"/>
    </sheetView>
  </sheetViews>
  <sheetFormatPr defaultColWidth="11.421875" defaultRowHeight="12.75"/>
  <cols>
    <col min="1" max="1" width="2.421875" style="1" customWidth="1"/>
    <col min="2" max="2" width="7.57421875" style="2" customWidth="1"/>
    <col min="3" max="3" width="31.421875" style="1" customWidth="1"/>
    <col min="4" max="4" width="32.7109375" style="1" customWidth="1"/>
    <col min="5" max="5" width="13.421875" style="1" customWidth="1"/>
    <col min="6" max="6" width="16.28125" style="1" customWidth="1"/>
    <col min="7" max="7" width="14.28125" style="1" customWidth="1"/>
    <col min="8" max="8" width="14.57421875" style="1" customWidth="1"/>
    <col min="9" max="9" width="13.7109375" style="1" customWidth="1"/>
    <col min="10" max="10" width="2.140625" style="1" customWidth="1"/>
    <col min="11" max="16384" width="11.421875" style="1" customWidth="1"/>
  </cols>
  <sheetData>
    <row r="1" spans="1:10" ht="12" thickBot="1">
      <c r="A1" s="5"/>
      <c r="B1" s="6"/>
      <c r="C1" s="7"/>
      <c r="D1" s="7"/>
      <c r="E1" s="7"/>
      <c r="F1" s="7"/>
      <c r="G1" s="7"/>
      <c r="H1" s="7"/>
      <c r="I1" s="7"/>
      <c r="J1" s="8"/>
    </row>
    <row r="2" spans="1:10" ht="33.75">
      <c r="A2" s="9"/>
      <c r="B2" s="3" t="s">
        <v>5</v>
      </c>
      <c r="C2" s="3" t="s">
        <v>6</v>
      </c>
      <c r="D2" s="3" t="s">
        <v>7</v>
      </c>
      <c r="E2" s="97" t="s">
        <v>8</v>
      </c>
      <c r="F2" s="97" t="s">
        <v>9</v>
      </c>
      <c r="G2" s="22" t="s">
        <v>11</v>
      </c>
      <c r="H2" s="22" t="s">
        <v>12</v>
      </c>
      <c r="I2" s="23" t="s">
        <v>10</v>
      </c>
      <c r="J2" s="10"/>
    </row>
    <row r="3" spans="1:10" ht="11.25">
      <c r="A3" s="9"/>
      <c r="B3" s="11"/>
      <c r="C3" s="12"/>
      <c r="D3" s="12"/>
      <c r="E3" s="12"/>
      <c r="F3" s="12"/>
      <c r="G3" s="12"/>
      <c r="H3" s="12"/>
      <c r="I3" s="12"/>
      <c r="J3" s="10"/>
    </row>
    <row r="4" spans="1:10" ht="11.25">
      <c r="A4" s="9"/>
      <c r="B4" s="3">
        <v>1</v>
      </c>
      <c r="C4" s="4" t="s">
        <v>0</v>
      </c>
      <c r="D4" s="4" t="s">
        <v>52</v>
      </c>
      <c r="E4" s="30">
        <f>+PARAMETROS!D22</f>
        <v>1.5</v>
      </c>
      <c r="F4" s="46">
        <f>+PARAMETROS!E22</f>
        <v>0.65</v>
      </c>
      <c r="G4" s="43">
        <f>+PARAMETROS!F22</f>
        <v>0.5</v>
      </c>
      <c r="H4" s="30">
        <f>+PARAMETROS!G22</f>
        <v>1.4</v>
      </c>
      <c r="I4" s="30">
        <f>+PARAMETROS!H22</f>
        <v>1</v>
      </c>
      <c r="J4" s="10"/>
    </row>
    <row r="5" spans="1:10" ht="11.25">
      <c r="A5" s="9"/>
      <c r="B5" s="11"/>
      <c r="C5" s="12"/>
      <c r="D5" s="12"/>
      <c r="E5" s="31"/>
      <c r="F5" s="48"/>
      <c r="G5" s="44"/>
      <c r="H5" s="31"/>
      <c r="I5" s="31"/>
      <c r="J5" s="10"/>
    </row>
    <row r="6" spans="1:10" ht="11.25">
      <c r="A6" s="9"/>
      <c r="B6" s="3">
        <f>+B4+1</f>
        <v>2</v>
      </c>
      <c r="C6" s="4" t="s">
        <v>1</v>
      </c>
      <c r="D6" s="4" t="s">
        <v>52</v>
      </c>
      <c r="E6" s="30">
        <f>+PARAMETROS!D24</f>
        <v>1.4</v>
      </c>
      <c r="F6" s="46">
        <f>+PARAMETROS!E24</f>
        <v>0.7</v>
      </c>
      <c r="G6" s="43">
        <f>+PARAMETROS!F24</f>
        <v>0.4</v>
      </c>
      <c r="H6" s="30">
        <f>+PARAMETROS!G24</f>
        <v>1.3</v>
      </c>
      <c r="I6" s="30">
        <f>+PARAMETROS!H24</f>
        <v>0.8</v>
      </c>
      <c r="J6" s="10"/>
    </row>
    <row r="7" spans="1:10" ht="11.25">
      <c r="A7" s="9"/>
      <c r="B7" s="11"/>
      <c r="C7" s="12"/>
      <c r="D7" s="12"/>
      <c r="E7" s="31"/>
      <c r="F7" s="48"/>
      <c r="G7" s="44"/>
      <c r="H7" s="31"/>
      <c r="I7" s="31"/>
      <c r="J7" s="10"/>
    </row>
    <row r="8" spans="1:10" ht="11.25">
      <c r="A8" s="9"/>
      <c r="B8" s="3">
        <f>+B6+1</f>
        <v>3</v>
      </c>
      <c r="C8" s="4" t="s">
        <v>2</v>
      </c>
      <c r="D8" s="4" t="s">
        <v>52</v>
      </c>
      <c r="E8" s="30">
        <f>+PARAMETROS!D26</f>
        <v>1.3</v>
      </c>
      <c r="F8" s="46">
        <f>+PARAMETROS!E26</f>
        <v>0.75</v>
      </c>
      <c r="G8" s="43">
        <f>+PARAMETROS!F26</f>
        <v>0.3</v>
      </c>
      <c r="H8" s="30">
        <f>+PARAMETROS!G26</f>
        <v>1.3</v>
      </c>
      <c r="I8" s="30">
        <f>+PARAMETROS!H26</f>
        <v>0.6</v>
      </c>
      <c r="J8" s="10"/>
    </row>
    <row r="9" spans="1:10" ht="11.25">
      <c r="A9" s="9"/>
      <c r="B9" s="11"/>
      <c r="C9" s="12"/>
      <c r="D9" s="12"/>
      <c r="E9" s="31"/>
      <c r="F9" s="48"/>
      <c r="G9" s="44"/>
      <c r="H9" s="31"/>
      <c r="I9" s="31"/>
      <c r="J9" s="10"/>
    </row>
    <row r="10" spans="1:10" ht="11.25">
      <c r="A10" s="9"/>
      <c r="B10" s="3">
        <v>4</v>
      </c>
      <c r="C10" s="4" t="s">
        <v>0</v>
      </c>
      <c r="D10" s="4" t="s">
        <v>3</v>
      </c>
      <c r="E10" s="30">
        <f>+PARAMETROS!D28</f>
        <v>1.6</v>
      </c>
      <c r="F10" s="46">
        <f>+PARAMETROS!E28</f>
        <v>0.6</v>
      </c>
      <c r="G10" s="43">
        <f>+PARAMETROS!F28</f>
        <v>0.5</v>
      </c>
      <c r="H10" s="30">
        <f>+PARAMETROS!G28</f>
        <v>1.5</v>
      </c>
      <c r="I10" s="30">
        <f>+PARAMETROS!H28</f>
        <v>0.6</v>
      </c>
      <c r="J10" s="10"/>
    </row>
    <row r="11" spans="1:10" ht="11.25">
      <c r="A11" s="9"/>
      <c r="B11" s="11"/>
      <c r="C11" s="12"/>
      <c r="D11" s="12"/>
      <c r="E11" s="31"/>
      <c r="F11" s="48"/>
      <c r="G11" s="44"/>
      <c r="H11" s="31"/>
      <c r="I11" s="31"/>
      <c r="J11" s="10"/>
    </row>
    <row r="12" spans="1:10" ht="11.25">
      <c r="A12" s="9"/>
      <c r="B12" s="3">
        <v>5</v>
      </c>
      <c r="C12" s="4" t="s">
        <v>1</v>
      </c>
      <c r="D12" s="4" t="s">
        <v>3</v>
      </c>
      <c r="E12" s="30">
        <f>+PARAMETROS!D30</f>
        <v>1.5</v>
      </c>
      <c r="F12" s="46">
        <f>+PARAMETROS!E30</f>
        <v>0.65</v>
      </c>
      <c r="G12" s="43">
        <f>+PARAMETROS!F30</f>
        <v>0.4</v>
      </c>
      <c r="H12" s="30">
        <f>+PARAMETROS!G30</f>
        <v>1.4</v>
      </c>
      <c r="I12" s="30">
        <f>+PARAMETROS!H30</f>
        <v>0.4</v>
      </c>
      <c r="J12" s="10"/>
    </row>
    <row r="13" spans="1:10" ht="11.25">
      <c r="A13" s="9"/>
      <c r="B13" s="11"/>
      <c r="C13" s="12"/>
      <c r="D13" s="12"/>
      <c r="E13" s="31"/>
      <c r="F13" s="48"/>
      <c r="G13" s="44"/>
      <c r="H13" s="31"/>
      <c r="I13" s="31"/>
      <c r="J13" s="10"/>
    </row>
    <row r="14" spans="1:10" ht="11.25">
      <c r="A14" s="9"/>
      <c r="B14" s="3">
        <v>6</v>
      </c>
      <c r="C14" s="4" t="s">
        <v>2</v>
      </c>
      <c r="D14" s="4" t="s">
        <v>3</v>
      </c>
      <c r="E14" s="30">
        <f>+PARAMETROS!D32</f>
        <v>1.4</v>
      </c>
      <c r="F14" s="46">
        <f>+PARAMETROS!E32</f>
        <v>0.7</v>
      </c>
      <c r="G14" s="43">
        <f>+PARAMETROS!F32</f>
        <v>0.3</v>
      </c>
      <c r="H14" s="30">
        <f>+PARAMETROS!G32</f>
        <v>1.4</v>
      </c>
      <c r="I14" s="30">
        <f>+PARAMETROS!H32</f>
        <v>0.2</v>
      </c>
      <c r="J14" s="10"/>
    </row>
    <row r="15" spans="1:10" ht="11.25">
      <c r="A15" s="9"/>
      <c r="B15" s="11"/>
      <c r="C15" s="12"/>
      <c r="D15" s="12"/>
      <c r="E15" s="31"/>
      <c r="F15" s="48"/>
      <c r="G15" s="44"/>
      <c r="H15" s="31"/>
      <c r="I15" s="31"/>
      <c r="J15" s="10"/>
    </row>
    <row r="16" spans="1:10" ht="11.25">
      <c r="A16" s="9"/>
      <c r="B16" s="3">
        <f>+B14+1</f>
        <v>7</v>
      </c>
      <c r="C16" s="4" t="s">
        <v>0</v>
      </c>
      <c r="D16" s="4" t="s">
        <v>4</v>
      </c>
      <c r="E16" s="30">
        <f>+PARAMETROS!D34</f>
        <v>1.4</v>
      </c>
      <c r="F16" s="46">
        <f>+PARAMETROS!E34</f>
        <v>0.7</v>
      </c>
      <c r="G16" s="43">
        <f>+PARAMETROS!F34</f>
        <v>0.4</v>
      </c>
      <c r="H16" s="30">
        <f>+PARAMETROS!G34</f>
        <v>1.3</v>
      </c>
      <c r="I16" s="30">
        <f>+PARAMETROS!H34</f>
        <v>0.6</v>
      </c>
      <c r="J16" s="10"/>
    </row>
    <row r="17" spans="1:10" ht="11.25">
      <c r="A17" s="9"/>
      <c r="B17" s="11"/>
      <c r="C17" s="12"/>
      <c r="D17" s="12"/>
      <c r="E17" s="31"/>
      <c r="F17" s="48"/>
      <c r="G17" s="44"/>
      <c r="H17" s="31"/>
      <c r="I17" s="31"/>
      <c r="J17" s="10"/>
    </row>
    <row r="18" spans="1:10" ht="11.25">
      <c r="A18" s="9"/>
      <c r="B18" s="3">
        <f>+B16+1</f>
        <v>8</v>
      </c>
      <c r="C18" s="4" t="s">
        <v>1</v>
      </c>
      <c r="D18" s="4" t="s">
        <v>4</v>
      </c>
      <c r="E18" s="30">
        <f>+PARAMETROS!D36</f>
        <v>1.3</v>
      </c>
      <c r="F18" s="46">
        <f>+PARAMETROS!E36</f>
        <v>0.75</v>
      </c>
      <c r="G18" s="43">
        <f>+PARAMETROS!F36</f>
        <v>0.3</v>
      </c>
      <c r="H18" s="30">
        <f>+PARAMETROS!G36</f>
        <v>1.2</v>
      </c>
      <c r="I18" s="30">
        <f>+PARAMETROS!H36</f>
        <v>0.4</v>
      </c>
      <c r="J18" s="10"/>
    </row>
    <row r="19" spans="1:10" ht="11.25">
      <c r="A19" s="9"/>
      <c r="B19" s="11"/>
      <c r="C19" s="12"/>
      <c r="D19" s="12"/>
      <c r="E19" s="31"/>
      <c r="F19" s="48"/>
      <c r="G19" s="44"/>
      <c r="H19" s="31"/>
      <c r="I19" s="31"/>
      <c r="J19" s="10"/>
    </row>
    <row r="20" spans="1:10" ht="11.25">
      <c r="A20" s="9"/>
      <c r="B20" s="3">
        <v>9</v>
      </c>
      <c r="C20" s="4" t="s">
        <v>2</v>
      </c>
      <c r="D20" s="4" t="s">
        <v>4</v>
      </c>
      <c r="E20" s="30">
        <f>+PARAMETROS!D38</f>
        <v>1.2</v>
      </c>
      <c r="F20" s="46">
        <f>+PARAMETROS!E38</f>
        <v>0.8</v>
      </c>
      <c r="G20" s="43">
        <f>+PARAMETROS!F38</f>
        <v>0.2</v>
      </c>
      <c r="H20" s="30">
        <f>+PARAMETROS!G38</f>
        <v>1.1</v>
      </c>
      <c r="I20" s="30">
        <f>+PARAMETROS!H38</f>
        <v>0.2</v>
      </c>
      <c r="J20" s="10"/>
    </row>
    <row r="21" spans="1:10" ht="12" thickBot="1">
      <c r="A21" s="13"/>
      <c r="B21" s="14"/>
      <c r="C21" s="15"/>
      <c r="D21" s="15"/>
      <c r="E21" s="15"/>
      <c r="F21" s="15"/>
      <c r="G21" s="15"/>
      <c r="H21" s="15"/>
      <c r="I21" s="15"/>
      <c r="J21" s="16"/>
    </row>
  </sheetData>
  <printOptions/>
  <pageMargins left="0.75" right="0.75" top="1" bottom="1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xSplit="3" ySplit="2" topLeftCell="D3" activePane="bottomRight" state="frozen"/>
      <selection pane="topLeft" activeCell="H4" sqref="H4"/>
      <selection pane="topRight" activeCell="H4" sqref="H4"/>
      <selection pane="bottomLeft" activeCell="H4" sqref="H4"/>
      <selection pane="bottomRight" activeCell="C42" sqref="C41:C42"/>
    </sheetView>
  </sheetViews>
  <sheetFormatPr defaultColWidth="11.421875" defaultRowHeight="12.75"/>
  <cols>
    <col min="1" max="1" width="2.421875" style="1" customWidth="1"/>
    <col min="2" max="2" width="5.57421875" style="2" customWidth="1"/>
    <col min="3" max="3" width="30.421875" style="1" bestFit="1" customWidth="1"/>
    <col min="4" max="4" width="15.8515625" style="1" bestFit="1" customWidth="1"/>
    <col min="5" max="5" width="16.00390625" style="1" customWidth="1"/>
    <col min="6" max="6" width="14.7109375" style="1" customWidth="1"/>
    <col min="7" max="7" width="14.57421875" style="1" customWidth="1"/>
    <col min="8" max="8" width="14.421875" style="1" customWidth="1"/>
    <col min="9" max="9" width="2.57421875" style="1" customWidth="1"/>
    <col min="10" max="16384" width="11.421875" style="1" customWidth="1"/>
  </cols>
  <sheetData>
    <row r="1" spans="1:9" ht="12" thickBot="1">
      <c r="A1" s="5"/>
      <c r="B1" s="6"/>
      <c r="C1" s="7"/>
      <c r="D1" s="7"/>
      <c r="E1" s="7"/>
      <c r="F1" s="7"/>
      <c r="G1" s="7"/>
      <c r="H1" s="7"/>
      <c r="I1" s="8"/>
    </row>
    <row r="2" spans="1:9" ht="33.75">
      <c r="A2" s="9"/>
      <c r="B2" s="19" t="s">
        <v>5</v>
      </c>
      <c r="C2" s="20" t="s">
        <v>13</v>
      </c>
      <c r="D2" s="21" t="s">
        <v>8</v>
      </c>
      <c r="E2" s="21" t="s">
        <v>9</v>
      </c>
      <c r="F2" s="22" t="s">
        <v>11</v>
      </c>
      <c r="G2" s="22" t="s">
        <v>12</v>
      </c>
      <c r="H2" s="23" t="s">
        <v>10</v>
      </c>
      <c r="I2" s="10"/>
    </row>
    <row r="3" spans="1:9" ht="11.25">
      <c r="A3" s="9"/>
      <c r="B3" s="24"/>
      <c r="C3" s="12"/>
      <c r="D3" s="12"/>
      <c r="E3" s="12"/>
      <c r="F3" s="12"/>
      <c r="G3" s="12"/>
      <c r="H3" s="10"/>
      <c r="I3" s="10"/>
    </row>
    <row r="4" spans="1:9" ht="22.5">
      <c r="A4" s="9"/>
      <c r="B4" s="24"/>
      <c r="C4" s="3" t="s">
        <v>14</v>
      </c>
      <c r="D4" s="3" t="s">
        <v>33</v>
      </c>
      <c r="E4" s="3" t="s">
        <v>31</v>
      </c>
      <c r="F4" s="3" t="s">
        <v>32</v>
      </c>
      <c r="G4" s="3" t="s">
        <v>49</v>
      </c>
      <c r="H4" s="25" t="s">
        <v>47</v>
      </c>
      <c r="I4" s="10"/>
    </row>
    <row r="5" spans="1:9" ht="11.25">
      <c r="A5" s="9"/>
      <c r="B5" s="24"/>
      <c r="C5" s="12"/>
      <c r="D5" s="12"/>
      <c r="E5" s="12"/>
      <c r="F5" s="12"/>
      <c r="G5" s="12"/>
      <c r="H5" s="10"/>
      <c r="I5" s="10"/>
    </row>
    <row r="6" spans="1:9" ht="11.25">
      <c r="A6" s="9"/>
      <c r="B6" s="26">
        <v>1</v>
      </c>
      <c r="C6" s="4" t="s">
        <v>0</v>
      </c>
      <c r="D6" s="46">
        <v>1.6</v>
      </c>
      <c r="E6" s="46">
        <v>0.6</v>
      </c>
      <c r="F6" s="18">
        <v>0.5</v>
      </c>
      <c r="G6" s="46">
        <v>1.5</v>
      </c>
      <c r="H6" s="93">
        <v>1</v>
      </c>
      <c r="I6" s="10"/>
    </row>
    <row r="7" spans="1:9" ht="11.25">
      <c r="A7" s="9"/>
      <c r="B7" s="24"/>
      <c r="C7" s="12"/>
      <c r="D7" s="92"/>
      <c r="E7" s="92"/>
      <c r="F7" s="17"/>
      <c r="G7" s="46"/>
      <c r="H7" s="94"/>
      <c r="I7" s="10"/>
    </row>
    <row r="8" spans="1:9" ht="11.25">
      <c r="A8" s="9"/>
      <c r="B8" s="26">
        <f>+B6+1</f>
        <v>2</v>
      </c>
      <c r="C8" s="4" t="s">
        <v>1</v>
      </c>
      <c r="D8" s="46">
        <v>1.4</v>
      </c>
      <c r="E8" s="46">
        <v>0.7</v>
      </c>
      <c r="F8" s="18">
        <v>0.3</v>
      </c>
      <c r="G8" s="46">
        <v>1.3</v>
      </c>
      <c r="H8" s="93">
        <v>0.5</v>
      </c>
      <c r="I8" s="10"/>
    </row>
    <row r="9" spans="1:9" ht="11.25">
      <c r="A9" s="9"/>
      <c r="B9" s="24"/>
      <c r="C9" s="12"/>
      <c r="D9" s="48"/>
      <c r="E9" s="48"/>
      <c r="F9" s="17"/>
      <c r="G9" s="46"/>
      <c r="H9" s="94"/>
      <c r="I9" s="10"/>
    </row>
    <row r="10" spans="1:9" ht="11.25">
      <c r="A10" s="9"/>
      <c r="B10" s="26">
        <f>+B8+1</f>
        <v>3</v>
      </c>
      <c r="C10" s="4" t="s">
        <v>2</v>
      </c>
      <c r="D10" s="46">
        <v>1.2</v>
      </c>
      <c r="E10" s="46">
        <v>0.8</v>
      </c>
      <c r="F10" s="18">
        <v>0.1</v>
      </c>
      <c r="G10" s="46">
        <v>1.2</v>
      </c>
      <c r="H10" s="93">
        <v>0.2</v>
      </c>
      <c r="I10" s="10"/>
    </row>
    <row r="11" spans="1:9" ht="11.25">
      <c r="A11" s="9"/>
      <c r="B11" s="24"/>
      <c r="C11" s="12"/>
      <c r="D11" s="92"/>
      <c r="E11" s="92"/>
      <c r="F11" s="17"/>
      <c r="G11" s="48"/>
      <c r="H11" s="94"/>
      <c r="I11" s="10"/>
    </row>
    <row r="12" spans="1:9" ht="22.5" customHeight="1">
      <c r="A12" s="9"/>
      <c r="B12" s="26"/>
      <c r="C12" s="3" t="s">
        <v>15</v>
      </c>
      <c r="D12" s="92"/>
      <c r="E12" s="92"/>
      <c r="F12" s="17"/>
      <c r="G12" s="48"/>
      <c r="H12" s="94"/>
      <c r="I12" s="10"/>
    </row>
    <row r="13" spans="1:9" ht="11.25">
      <c r="A13" s="9"/>
      <c r="B13" s="24"/>
      <c r="C13" s="12"/>
      <c r="D13" s="92"/>
      <c r="E13" s="92"/>
      <c r="F13" s="17"/>
      <c r="G13" s="48"/>
      <c r="H13" s="94"/>
      <c r="I13" s="10"/>
    </row>
    <row r="14" spans="1:9" ht="11.25">
      <c r="A14" s="9"/>
      <c r="B14" s="26">
        <v>4</v>
      </c>
      <c r="C14" s="4" t="s">
        <v>52</v>
      </c>
      <c r="D14" s="46">
        <v>1.4</v>
      </c>
      <c r="E14" s="46">
        <v>0.7</v>
      </c>
      <c r="F14" s="18">
        <v>0.5</v>
      </c>
      <c r="G14" s="46">
        <v>1.3</v>
      </c>
      <c r="H14" s="93">
        <v>1</v>
      </c>
      <c r="I14" s="10"/>
    </row>
    <row r="15" spans="1:9" ht="11.25">
      <c r="A15" s="9"/>
      <c r="B15" s="24"/>
      <c r="C15" s="12"/>
      <c r="D15" s="48"/>
      <c r="E15" s="48"/>
      <c r="F15" s="17"/>
      <c r="G15" s="48"/>
      <c r="H15" s="94"/>
      <c r="I15" s="10"/>
    </row>
    <row r="16" spans="1:9" ht="11.25">
      <c r="A16" s="9"/>
      <c r="B16" s="26">
        <v>5</v>
      </c>
      <c r="C16" s="4" t="s">
        <v>3</v>
      </c>
      <c r="D16" s="46">
        <v>1.6</v>
      </c>
      <c r="E16" s="46">
        <v>0.6</v>
      </c>
      <c r="F16" s="18">
        <v>0.5</v>
      </c>
      <c r="G16" s="46">
        <v>1.5</v>
      </c>
      <c r="H16" s="93">
        <v>0.2</v>
      </c>
      <c r="I16" s="10"/>
    </row>
    <row r="17" spans="1:9" ht="11.25">
      <c r="A17" s="9"/>
      <c r="B17" s="24"/>
      <c r="C17" s="12"/>
      <c r="D17" s="48"/>
      <c r="E17" s="48"/>
      <c r="F17" s="17"/>
      <c r="G17" s="48"/>
      <c r="H17" s="94"/>
      <c r="I17" s="10"/>
    </row>
    <row r="18" spans="1:9" ht="12" thickBot="1">
      <c r="A18" s="9"/>
      <c r="B18" s="27">
        <v>6</v>
      </c>
      <c r="C18" s="28" t="s">
        <v>4</v>
      </c>
      <c r="D18" s="47">
        <v>1.2</v>
      </c>
      <c r="E18" s="47">
        <v>0.8</v>
      </c>
      <c r="F18" s="29">
        <v>0.3</v>
      </c>
      <c r="G18" s="47">
        <v>1</v>
      </c>
      <c r="H18" s="95">
        <v>0.2</v>
      </c>
      <c r="I18" s="10"/>
    </row>
    <row r="19" spans="1:9" ht="12" thickBot="1">
      <c r="A19" s="13"/>
      <c r="B19" s="14"/>
      <c r="C19" s="15"/>
      <c r="D19" s="15"/>
      <c r="E19" s="15"/>
      <c r="F19" s="15"/>
      <c r="G19" s="15"/>
      <c r="H19" s="15"/>
      <c r="I19" s="16"/>
    </row>
    <row r="20" spans="2:3" s="12" customFormat="1" ht="11.25">
      <c r="B20" s="11"/>
      <c r="C20" s="11"/>
    </row>
    <row r="21" s="12" customFormat="1" ht="12" thickBot="1">
      <c r="B21" s="11"/>
    </row>
    <row r="22" spans="2:8" s="12" customFormat="1" ht="11.25">
      <c r="B22" s="11"/>
      <c r="C22" s="35" t="s">
        <v>16</v>
      </c>
      <c r="D22" s="36">
        <f>+ROUND((D$6+D14)/2,1)</f>
        <v>1.5</v>
      </c>
      <c r="E22" s="45">
        <f>+ROUND((E$6+E14)/2,2)</f>
        <v>0.65</v>
      </c>
      <c r="F22" s="96">
        <f>+ROUND((F$6+F14)/2,2)</f>
        <v>0.5</v>
      </c>
      <c r="G22" s="36">
        <f>+ROUND((G$6+G14)/2,1)</f>
        <v>1.4</v>
      </c>
      <c r="H22" s="37">
        <f>+ROUND((H$6+H14)/2,1)</f>
        <v>1</v>
      </c>
    </row>
    <row r="23" spans="2:8" s="12" customFormat="1" ht="11.25">
      <c r="B23" s="11"/>
      <c r="C23" s="38"/>
      <c r="D23" s="34"/>
      <c r="E23" s="42"/>
      <c r="F23" s="18"/>
      <c r="G23" s="34"/>
      <c r="H23" s="39"/>
    </row>
    <row r="24" spans="2:8" s="12" customFormat="1" ht="11.25">
      <c r="B24" s="11"/>
      <c r="C24" s="38" t="s">
        <v>19</v>
      </c>
      <c r="D24" s="30">
        <f>+ROUND((D$8+D14)/2,1)</f>
        <v>1.4</v>
      </c>
      <c r="E24" s="46">
        <f>+ROUND((E$8+E14)/2,2)</f>
        <v>0.7</v>
      </c>
      <c r="F24" s="18">
        <f>+ROUND((F$8+F14)/2,2)</f>
        <v>0.4</v>
      </c>
      <c r="G24" s="30">
        <f>+ROUND((G$8+G14)/2,1)</f>
        <v>1.3</v>
      </c>
      <c r="H24" s="33">
        <f>+ROUND((H$8+H14)/2,1)</f>
        <v>0.8</v>
      </c>
    </row>
    <row r="25" spans="2:8" s="12" customFormat="1" ht="11.25">
      <c r="B25" s="11"/>
      <c r="C25" s="38"/>
      <c r="D25" s="34"/>
      <c r="E25" s="42"/>
      <c r="F25" s="18"/>
      <c r="G25" s="34"/>
      <c r="H25" s="39"/>
    </row>
    <row r="26" spans="2:8" s="12" customFormat="1" ht="11.25">
      <c r="B26" s="11"/>
      <c r="C26" s="38" t="s">
        <v>22</v>
      </c>
      <c r="D26" s="30">
        <f>+ROUND((D$10+D14)/2,1)</f>
        <v>1.3</v>
      </c>
      <c r="E26" s="46">
        <f>+ROUND((E$10+E14)/2,2)</f>
        <v>0.75</v>
      </c>
      <c r="F26" s="18">
        <f>+ROUND((F$10+F14)/2,2)</f>
        <v>0.3</v>
      </c>
      <c r="G26" s="30">
        <f>+ROUND((G$10+G14)/2,1)</f>
        <v>1.3</v>
      </c>
      <c r="H26" s="33">
        <f>+ROUND((H$10+H14)/2,1)</f>
        <v>0.6</v>
      </c>
    </row>
    <row r="27" spans="1:8" ht="11.25">
      <c r="A27" s="9"/>
      <c r="B27" s="11"/>
      <c r="C27" s="38"/>
      <c r="D27" s="34"/>
      <c r="E27" s="42"/>
      <c r="F27" s="18"/>
      <c r="G27" s="34"/>
      <c r="H27" s="39"/>
    </row>
    <row r="28" spans="3:8" ht="11.25">
      <c r="C28" s="38" t="s">
        <v>17</v>
      </c>
      <c r="D28" s="30">
        <f>+ROUND((D$6+D16)/2,1)</f>
        <v>1.6</v>
      </c>
      <c r="E28" s="46">
        <f>+ROUND((E$6+E16)/2,2)</f>
        <v>0.6</v>
      </c>
      <c r="F28" s="18">
        <f>+ROUND((F$6+F16)/2,2)</f>
        <v>0.5</v>
      </c>
      <c r="G28" s="30">
        <f>+ROUND((G$6+G16)/2,1)</f>
        <v>1.5</v>
      </c>
      <c r="H28" s="33">
        <f>+ROUND((H$6+H16)/2,1)</f>
        <v>0.6</v>
      </c>
    </row>
    <row r="29" spans="3:8" ht="11.25">
      <c r="C29" s="38"/>
      <c r="D29" s="34"/>
      <c r="E29" s="42"/>
      <c r="F29" s="18"/>
      <c r="G29" s="34"/>
      <c r="H29" s="39"/>
    </row>
    <row r="30" spans="3:8" ht="11.25">
      <c r="C30" s="38" t="s">
        <v>20</v>
      </c>
      <c r="D30" s="30">
        <f>+ROUND((D$8+D16)/2,1)</f>
        <v>1.5</v>
      </c>
      <c r="E30" s="46">
        <f>+ROUND((E$8+E16)/2,2)</f>
        <v>0.65</v>
      </c>
      <c r="F30" s="18">
        <f>+ROUND((F$8+F16)/2,2)</f>
        <v>0.4</v>
      </c>
      <c r="G30" s="30">
        <f>+ROUND((G$8+G16)/2,1)</f>
        <v>1.4</v>
      </c>
      <c r="H30" s="33">
        <f>+ROUND((H$8+H16)/2,1)</f>
        <v>0.4</v>
      </c>
    </row>
    <row r="31" spans="3:8" ht="11.25">
      <c r="C31" s="38"/>
      <c r="D31" s="34"/>
      <c r="E31" s="42"/>
      <c r="F31" s="18"/>
      <c r="G31" s="34"/>
      <c r="H31" s="39"/>
    </row>
    <row r="32" spans="3:8" ht="11.25">
      <c r="C32" s="38" t="s">
        <v>23</v>
      </c>
      <c r="D32" s="30">
        <f>+ROUND((D$10+D16)/2,1)</f>
        <v>1.4</v>
      </c>
      <c r="E32" s="46">
        <f>+ROUND((E$10+E16)/2,2)</f>
        <v>0.7</v>
      </c>
      <c r="F32" s="18">
        <f>+ROUND((F$10+F16)/2,2)</f>
        <v>0.3</v>
      </c>
      <c r="G32" s="30">
        <f>+ROUND((G$10+G16)/2,1)</f>
        <v>1.4</v>
      </c>
      <c r="H32" s="33">
        <f>+ROUND((H$10+H16)/2,1)</f>
        <v>0.2</v>
      </c>
    </row>
    <row r="33" spans="3:8" ht="11.25">
      <c r="C33" s="38"/>
      <c r="D33" s="34"/>
      <c r="E33" s="42"/>
      <c r="F33" s="18"/>
      <c r="G33" s="34"/>
      <c r="H33" s="39"/>
    </row>
    <row r="34" spans="3:8" ht="11.25">
      <c r="C34" s="38" t="s">
        <v>18</v>
      </c>
      <c r="D34" s="30">
        <f>+ROUND((D$6+D18)/2,1)</f>
        <v>1.4</v>
      </c>
      <c r="E34" s="46">
        <f>+ROUND((E$6+E18)/2,2)</f>
        <v>0.7</v>
      </c>
      <c r="F34" s="18">
        <f>+ROUND((F$6+F18)/2,2)</f>
        <v>0.4</v>
      </c>
      <c r="G34" s="30">
        <f>+ROUND((G$6+G18)/2,1)</f>
        <v>1.3</v>
      </c>
      <c r="H34" s="33">
        <f>+ROUND((H$6+H18)/2,1)</f>
        <v>0.6</v>
      </c>
    </row>
    <row r="35" spans="3:8" ht="11.25">
      <c r="C35" s="38"/>
      <c r="D35" s="34"/>
      <c r="E35" s="42"/>
      <c r="F35" s="18"/>
      <c r="G35" s="34"/>
      <c r="H35" s="39"/>
    </row>
    <row r="36" spans="3:8" ht="11.25">
      <c r="C36" s="38" t="s">
        <v>21</v>
      </c>
      <c r="D36" s="30">
        <f>+ROUND((D$8+D18)/2,1)</f>
        <v>1.3</v>
      </c>
      <c r="E36" s="46">
        <f>+ROUND((E$8+E18)/2,2)</f>
        <v>0.75</v>
      </c>
      <c r="F36" s="18">
        <f>+ROUND((F$8+F18)/2,2)</f>
        <v>0.3</v>
      </c>
      <c r="G36" s="30">
        <f>+ROUND((G$8+G18)/2,1)</f>
        <v>1.2</v>
      </c>
      <c r="H36" s="33">
        <f>+ROUND((H$8+H18)/2,1)</f>
        <v>0.4</v>
      </c>
    </row>
    <row r="37" spans="3:8" ht="11.25">
      <c r="C37" s="38"/>
      <c r="D37" s="34"/>
      <c r="E37" s="42"/>
      <c r="F37" s="18"/>
      <c r="G37" s="34"/>
      <c r="H37" s="39"/>
    </row>
    <row r="38" spans="3:8" ht="12" thickBot="1">
      <c r="C38" s="40" t="s">
        <v>24</v>
      </c>
      <c r="D38" s="32">
        <f>+ROUND((D$10+D18)/2,1)</f>
        <v>1.2</v>
      </c>
      <c r="E38" s="47">
        <f>+ROUND((E$10+E18)/2,2)</f>
        <v>0.8</v>
      </c>
      <c r="F38" s="29">
        <f>+ROUND((F$10+F18)/2,2)</f>
        <v>0.2</v>
      </c>
      <c r="G38" s="32">
        <f>+ROUND((G$10+G18)/2,1)</f>
        <v>1.1</v>
      </c>
      <c r="H38" s="41">
        <f>+ROUND((H$10+H18)/2,1)</f>
        <v>0.2</v>
      </c>
    </row>
  </sheetData>
  <printOptions/>
  <pageMargins left="0.75" right="0.75" top="1" bottom="1" header="0" footer="0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331"/>
  <sheetViews>
    <sheetView tabSelected="1" zoomScale="80" zoomScaleNormal="80" zoomScaleSheetLayoutView="100" workbookViewId="0" topLeftCell="A4">
      <selection activeCell="F63" sqref="F63"/>
    </sheetView>
  </sheetViews>
  <sheetFormatPr defaultColWidth="11.421875" defaultRowHeight="12.75"/>
  <cols>
    <col min="2" max="2" width="19.7109375" style="0" customWidth="1"/>
    <col min="3" max="3" width="35.57421875" style="0" customWidth="1"/>
    <col min="4" max="4" width="40.00390625" style="0" customWidth="1"/>
    <col min="5" max="5" width="5.57421875" style="0" bestFit="1" customWidth="1"/>
    <col min="6" max="6" width="18.140625" style="0" customWidth="1"/>
    <col min="7" max="7" width="2.00390625" style="0" customWidth="1"/>
    <col min="8" max="8" width="21.57421875" style="0" customWidth="1"/>
    <col min="9" max="9" width="3.8515625" style="0" customWidth="1"/>
    <col min="10" max="10" width="16.28125" style="0" bestFit="1" customWidth="1"/>
    <col min="11" max="55" width="3.8515625" style="0" customWidth="1"/>
    <col min="56" max="56" width="41.00390625" style="0" customWidth="1"/>
    <col min="57" max="57" width="5.57421875" style="0" bestFit="1" customWidth="1"/>
    <col min="58" max="58" width="14.8515625" style="0" customWidth="1"/>
    <col min="59" max="59" width="2.00390625" style="0" customWidth="1"/>
    <col min="60" max="60" width="19.421875" style="0" customWidth="1"/>
    <col min="61" max="61" width="3.8515625" style="0" customWidth="1"/>
    <col min="62" max="62" width="16.28125" style="0" bestFit="1" customWidth="1"/>
    <col min="63" max="63" width="3.8515625" style="0" customWidth="1"/>
    <col min="64" max="64" width="40.8515625" style="0" customWidth="1"/>
    <col min="65" max="65" width="5.57421875" style="0" bestFit="1" customWidth="1"/>
    <col min="66" max="66" width="16.8515625" style="0" customWidth="1"/>
    <col min="67" max="67" width="2.00390625" style="0" customWidth="1"/>
    <col min="68" max="68" width="17.8515625" style="0" customWidth="1"/>
    <col min="69" max="69" width="3.8515625" style="0" customWidth="1"/>
    <col min="70" max="70" width="16.28125" style="0" bestFit="1" customWidth="1"/>
    <col min="71" max="71" width="3.8515625" style="0" customWidth="1"/>
    <col min="72" max="72" width="2.421875" style="0" customWidth="1"/>
    <col min="73" max="73" width="40.7109375" style="0" customWidth="1"/>
    <col min="74" max="74" width="4.8515625" style="0" customWidth="1"/>
    <col min="75" max="75" width="17.00390625" style="0" customWidth="1"/>
    <col min="76" max="76" width="3.140625" style="0" customWidth="1"/>
    <col min="77" max="77" width="20.7109375" style="0" customWidth="1"/>
    <col min="78" max="78" width="3.00390625" style="0" customWidth="1"/>
    <col min="79" max="79" width="14.8515625" style="0" bestFit="1" customWidth="1"/>
    <col min="80" max="80" width="3.421875" style="0" customWidth="1"/>
    <col min="81" max="81" width="40.7109375" style="0" customWidth="1"/>
    <col min="82" max="82" width="4.140625" style="0" customWidth="1"/>
    <col min="83" max="83" width="15.7109375" style="0" bestFit="1" customWidth="1"/>
    <col min="84" max="84" width="3.00390625" style="0" customWidth="1"/>
    <col min="85" max="85" width="20.7109375" style="0" customWidth="1"/>
    <col min="86" max="86" width="2.8515625" style="0" customWidth="1"/>
    <col min="87" max="87" width="14.8515625" style="0" bestFit="1" customWidth="1"/>
  </cols>
  <sheetData>
    <row r="1" spans="1:4" ht="18">
      <c r="A1" s="216" t="s">
        <v>98</v>
      </c>
      <c r="B1" s="216"/>
      <c r="C1" s="216"/>
      <c r="D1" s="216"/>
    </row>
    <row r="2" spans="1:75" ht="63.75" customHeight="1">
      <c r="A2" s="217" t="s">
        <v>101</v>
      </c>
      <c r="B2" s="217"/>
      <c r="C2" s="217"/>
      <c r="D2" s="217"/>
      <c r="BW2" s="109"/>
    </row>
    <row r="3" spans="1:87" ht="12.75">
      <c r="A3" s="157"/>
      <c r="H3" s="104" t="str">
        <f>+$B$17</f>
        <v>Presupuesto Oficial</v>
      </c>
      <c r="J3" s="105">
        <f>IF($B$17="Presupuesto Oficial",$C$17,F31)</f>
        <v>365000000</v>
      </c>
      <c r="BH3" s="104" t="str">
        <f>+$B$17</f>
        <v>Presupuesto Oficial</v>
      </c>
      <c r="BJ3" s="105">
        <f>IF($B$17="Presupuesto Oficial",$C$17,BF31)</f>
        <v>365000000</v>
      </c>
      <c r="BP3" s="104" t="str">
        <f>+$B$17</f>
        <v>Presupuesto Oficial</v>
      </c>
      <c r="BR3" s="105">
        <f>IF($B$17="Presupuesto Oficial",$C$17,BN31)</f>
        <v>365000000</v>
      </c>
      <c r="BY3" s="104" t="str">
        <f>+$B$17</f>
        <v>Presupuesto Oficial</v>
      </c>
      <c r="CA3" s="105">
        <f>IF($B$17="Presupuesto Oficial",$C$17,BW31)</f>
        <v>365000000</v>
      </c>
      <c r="CG3" s="104" t="str">
        <f>+$B$17</f>
        <v>Presupuesto Oficial</v>
      </c>
      <c r="CI3" s="105">
        <f>IF($B$17="Presupuesto Oficial",$C$17,CE31)</f>
        <v>365000000</v>
      </c>
    </row>
    <row r="4" spans="4:87" ht="13.5" thickBot="1">
      <c r="D4" s="76" t="s">
        <v>45</v>
      </c>
      <c r="F4" s="90"/>
      <c r="BD4" s="76" t="s">
        <v>45</v>
      </c>
      <c r="BF4" s="90"/>
      <c r="BL4" s="76" t="s">
        <v>45</v>
      </c>
      <c r="BN4" s="9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</row>
    <row r="5" spans="4:87" ht="23.25" customHeight="1" thickBot="1">
      <c r="D5" s="201" t="s">
        <v>99</v>
      </c>
      <c r="E5" s="202"/>
      <c r="F5" s="202"/>
      <c r="G5" s="176"/>
      <c r="H5" s="176"/>
      <c r="I5" s="176"/>
      <c r="J5" s="177"/>
      <c r="BD5" s="201" t="s">
        <v>83</v>
      </c>
      <c r="BE5" s="202"/>
      <c r="BF5" s="202"/>
      <c r="BG5" s="176"/>
      <c r="BH5" s="176"/>
      <c r="BI5" s="176"/>
      <c r="BJ5" s="177"/>
      <c r="BL5" s="201" t="s">
        <v>87</v>
      </c>
      <c r="BM5" s="202"/>
      <c r="BN5" s="202"/>
      <c r="BO5" s="176"/>
      <c r="BP5" s="176"/>
      <c r="BQ5" s="176"/>
      <c r="BR5" s="177"/>
      <c r="BU5" s="175" t="s">
        <v>91</v>
      </c>
      <c r="BV5" s="176"/>
      <c r="BW5" s="176"/>
      <c r="BX5" s="176"/>
      <c r="BY5" s="176"/>
      <c r="BZ5" s="176"/>
      <c r="CA5" s="177"/>
      <c r="CB5" s="91"/>
      <c r="CC5" s="175" t="s">
        <v>92</v>
      </c>
      <c r="CD5" s="176"/>
      <c r="CE5" s="176"/>
      <c r="CF5" s="176"/>
      <c r="CG5" s="176"/>
      <c r="CH5" s="176"/>
      <c r="CI5" s="177"/>
    </row>
    <row r="6" spans="4:83" ht="12.75">
      <c r="D6" s="145" t="s">
        <v>40</v>
      </c>
      <c r="E6" s="146"/>
      <c r="F6" s="147">
        <v>1</v>
      </c>
      <c r="BD6" s="145" t="s">
        <v>40</v>
      </c>
      <c r="BE6" s="146"/>
      <c r="BF6" s="147">
        <v>1</v>
      </c>
      <c r="BL6" s="145" t="s">
        <v>40</v>
      </c>
      <c r="BM6" s="146"/>
      <c r="BN6" s="147">
        <v>1</v>
      </c>
      <c r="BU6" s="145" t="s">
        <v>40</v>
      </c>
      <c r="BV6" s="146"/>
      <c r="BW6" s="147">
        <v>0.49</v>
      </c>
      <c r="CC6" s="145" t="s">
        <v>40</v>
      </c>
      <c r="CD6" s="146"/>
      <c r="CE6" s="147">
        <v>0.51</v>
      </c>
    </row>
    <row r="7" spans="1:83" ht="12.75">
      <c r="A7" s="155"/>
      <c r="B7" s="114"/>
      <c r="C7" s="114"/>
      <c r="D7" s="123" t="s">
        <v>68</v>
      </c>
      <c r="E7" s="115">
        <v>24</v>
      </c>
      <c r="F7" s="124"/>
      <c r="BD7" s="123" t="s">
        <v>68</v>
      </c>
      <c r="BE7" s="115" t="s">
        <v>86</v>
      </c>
      <c r="BF7" s="124"/>
      <c r="BL7" s="123" t="s">
        <v>68</v>
      </c>
      <c r="BM7" s="115"/>
      <c r="BN7" s="124"/>
      <c r="BU7" s="123" t="s">
        <v>68</v>
      </c>
      <c r="BV7" s="115">
        <v>42</v>
      </c>
      <c r="BW7" s="126"/>
      <c r="CC7" s="123" t="s">
        <v>68</v>
      </c>
      <c r="CD7" s="115" t="s">
        <v>97</v>
      </c>
      <c r="CE7" s="126"/>
    </row>
    <row r="8" spans="1:83" ht="12.75">
      <c r="A8" s="155"/>
      <c r="B8" s="114"/>
      <c r="C8" s="114"/>
      <c r="D8" s="123" t="s">
        <v>69</v>
      </c>
      <c r="E8" s="115"/>
      <c r="F8" s="124"/>
      <c r="BD8" s="123" t="s">
        <v>69</v>
      </c>
      <c r="BE8" s="115"/>
      <c r="BF8" s="124"/>
      <c r="BL8" s="123" t="s">
        <v>69</v>
      </c>
      <c r="BM8" s="115"/>
      <c r="BN8" s="124"/>
      <c r="BU8" s="123" t="s">
        <v>69</v>
      </c>
      <c r="BV8" s="115"/>
      <c r="BW8" s="126"/>
      <c r="CC8" s="123" t="s">
        <v>69</v>
      </c>
      <c r="CD8" s="115"/>
      <c r="CE8" s="126"/>
    </row>
    <row r="9" spans="1:83" ht="12.75">
      <c r="A9" s="155"/>
      <c r="B9" s="114"/>
      <c r="C9" s="114"/>
      <c r="D9" s="123" t="s">
        <v>70</v>
      </c>
      <c r="E9" s="115"/>
      <c r="F9" s="125">
        <v>40049</v>
      </c>
      <c r="BD9" s="123" t="s">
        <v>70</v>
      </c>
      <c r="BE9" s="115"/>
      <c r="BF9" s="125">
        <v>40049</v>
      </c>
      <c r="BL9" s="123" t="s">
        <v>70</v>
      </c>
      <c r="BM9" s="115"/>
      <c r="BN9" s="125">
        <v>40077</v>
      </c>
      <c r="BU9" s="123" t="s">
        <v>70</v>
      </c>
      <c r="BV9" s="115"/>
      <c r="BW9" s="126"/>
      <c r="CC9" s="123" t="s">
        <v>70</v>
      </c>
      <c r="CD9" s="115"/>
      <c r="CE9" s="126"/>
    </row>
    <row r="10" spans="1:88" ht="12.75">
      <c r="A10" s="155"/>
      <c r="B10" s="114"/>
      <c r="C10" s="114"/>
      <c r="D10" s="123" t="s">
        <v>100</v>
      </c>
      <c r="E10" s="115">
        <v>40</v>
      </c>
      <c r="F10" s="125"/>
      <c r="H10" s="159"/>
      <c r="I10" s="159"/>
      <c r="J10" s="159"/>
      <c r="BD10" s="123" t="s">
        <v>85</v>
      </c>
      <c r="BE10" s="115">
        <v>42</v>
      </c>
      <c r="BF10" s="125"/>
      <c r="BL10" s="123" t="s">
        <v>89</v>
      </c>
      <c r="BM10" s="115">
        <v>28</v>
      </c>
      <c r="BN10" s="125"/>
      <c r="BU10" s="123" t="s">
        <v>93</v>
      </c>
      <c r="BV10" s="115">
        <v>64</v>
      </c>
      <c r="BW10" s="154">
        <v>40107</v>
      </c>
      <c r="CC10" s="123" t="s">
        <v>95</v>
      </c>
      <c r="CD10" s="115">
        <v>99</v>
      </c>
      <c r="CE10" s="154">
        <v>40095</v>
      </c>
      <c r="CG10" s="159"/>
      <c r="CH10" s="159"/>
      <c r="CI10" s="159"/>
      <c r="CJ10" s="159"/>
    </row>
    <row r="11" spans="1:87" ht="12.75">
      <c r="A11" s="155"/>
      <c r="B11" s="114"/>
      <c r="C11" s="114"/>
      <c r="D11" s="123" t="s">
        <v>71</v>
      </c>
      <c r="E11" s="115"/>
      <c r="F11" s="125">
        <v>40049</v>
      </c>
      <c r="H11" s="159"/>
      <c r="I11" s="159"/>
      <c r="J11" s="159"/>
      <c r="BD11" s="123" t="s">
        <v>71</v>
      </c>
      <c r="BE11" s="115"/>
      <c r="BF11" s="125">
        <v>40049</v>
      </c>
      <c r="BL11" s="123" t="s">
        <v>80</v>
      </c>
      <c r="BM11" s="115"/>
      <c r="BN11" s="125">
        <v>40077</v>
      </c>
      <c r="BU11" s="123" t="s">
        <v>71</v>
      </c>
      <c r="BV11" s="115"/>
      <c r="BW11" s="126"/>
      <c r="CC11" s="123" t="s">
        <v>71</v>
      </c>
      <c r="CD11" s="115"/>
      <c r="CE11" s="126"/>
      <c r="CG11" s="159"/>
      <c r="CH11" s="159"/>
      <c r="CI11" s="159"/>
    </row>
    <row r="12" spans="1:87" ht="12.75">
      <c r="A12" s="155"/>
      <c r="B12" s="114"/>
      <c r="C12" s="114"/>
      <c r="D12" s="123" t="s">
        <v>84</v>
      </c>
      <c r="E12" s="115">
        <v>42</v>
      </c>
      <c r="F12" s="126"/>
      <c r="H12" s="159"/>
      <c r="I12" s="159"/>
      <c r="J12" s="159"/>
      <c r="BD12" s="123" t="s">
        <v>84</v>
      </c>
      <c r="BE12" s="115">
        <v>44</v>
      </c>
      <c r="BF12" s="126"/>
      <c r="BL12" s="123" t="s">
        <v>88</v>
      </c>
      <c r="BM12" s="115">
        <v>29</v>
      </c>
      <c r="BN12" s="126"/>
      <c r="BU12" s="123" t="s">
        <v>94</v>
      </c>
      <c r="BV12" s="156">
        <v>65</v>
      </c>
      <c r="BW12" s="154">
        <v>40107</v>
      </c>
      <c r="CC12" s="123" t="s">
        <v>96</v>
      </c>
      <c r="CD12" s="156">
        <v>101</v>
      </c>
      <c r="CE12" s="154">
        <v>40109</v>
      </c>
      <c r="CG12" s="159"/>
      <c r="CH12" s="159"/>
      <c r="CI12" s="159"/>
    </row>
    <row r="13" spans="1:83" ht="13.5" thickBot="1">
      <c r="A13" s="155"/>
      <c r="B13" s="114"/>
      <c r="C13" s="114"/>
      <c r="D13" s="123"/>
      <c r="E13" s="115"/>
      <c r="F13" s="126"/>
      <c r="H13" s="159"/>
      <c r="I13" s="159"/>
      <c r="J13" s="159"/>
      <c r="BD13" s="123"/>
      <c r="BE13" s="115"/>
      <c r="BF13" s="126"/>
      <c r="BL13" s="123"/>
      <c r="BM13" s="115"/>
      <c r="BN13" s="126"/>
      <c r="BU13" s="112"/>
      <c r="BV13" s="50"/>
      <c r="BW13" s="113"/>
      <c r="CC13" s="123"/>
      <c r="CD13" s="115"/>
      <c r="CE13" s="126"/>
    </row>
    <row r="14" spans="1:83" ht="13.5" thickBot="1">
      <c r="A14" s="89">
        <v>6</v>
      </c>
      <c r="B14" s="207" t="s">
        <v>81</v>
      </c>
      <c r="C14" s="208"/>
      <c r="D14" s="112"/>
      <c r="E14" s="50"/>
      <c r="F14" s="129"/>
      <c r="H14" s="159"/>
      <c r="I14" s="159"/>
      <c r="J14" s="159"/>
      <c r="BD14" s="112"/>
      <c r="BE14" s="50"/>
      <c r="BF14" s="129"/>
      <c r="BL14" s="112"/>
      <c r="BM14" s="50"/>
      <c r="BN14" s="129"/>
      <c r="BU14" s="112"/>
      <c r="BV14" s="50"/>
      <c r="BW14" s="113"/>
      <c r="CC14" s="112"/>
      <c r="CD14" s="50"/>
      <c r="CE14" s="113"/>
    </row>
    <row r="15" spans="1:87" ht="18.75" thickBot="1">
      <c r="A15" s="53" t="s">
        <v>34</v>
      </c>
      <c r="B15" s="78"/>
      <c r="C15" s="50"/>
      <c r="D15" s="218" t="s">
        <v>59</v>
      </c>
      <c r="E15" s="219"/>
      <c r="F15" s="220"/>
      <c r="H15" s="221" t="s">
        <v>77</v>
      </c>
      <c r="I15" s="221"/>
      <c r="J15" s="221"/>
      <c r="BD15" s="218" t="s">
        <v>59</v>
      </c>
      <c r="BE15" s="219"/>
      <c r="BF15" s="220"/>
      <c r="BH15" s="221" t="s">
        <v>77</v>
      </c>
      <c r="BI15" s="221"/>
      <c r="BJ15" s="221"/>
      <c r="BL15" s="218" t="s">
        <v>59</v>
      </c>
      <c r="BM15" s="219"/>
      <c r="BN15" s="220"/>
      <c r="BP15" s="221" t="s">
        <v>77</v>
      </c>
      <c r="BQ15" s="221"/>
      <c r="BR15" s="221"/>
      <c r="BU15" s="211" t="str">
        <f>+BL15</f>
        <v>BALANCE A DICIEMBRE 31 DE 2008</v>
      </c>
      <c r="BV15" s="212"/>
      <c r="BW15" s="213"/>
      <c r="BY15" s="214" t="e">
        <f>+#REF!</f>
        <v>#REF!</v>
      </c>
      <c r="BZ15" s="214"/>
      <c r="CA15" s="214"/>
      <c r="CC15" s="211" t="str">
        <f>+BU15</f>
        <v>BALANCE A DICIEMBRE 31 DE 2008</v>
      </c>
      <c r="CD15" s="212"/>
      <c r="CE15" s="213"/>
      <c r="CG15" s="214" t="e">
        <f>+BY15</f>
        <v>#REF!</v>
      </c>
      <c r="CH15" s="214"/>
      <c r="CI15" s="214"/>
    </row>
    <row r="16" spans="1:87" ht="13.5" thickBot="1">
      <c r="A16" s="89" t="s">
        <v>58</v>
      </c>
      <c r="B16" s="78"/>
      <c r="C16" s="50"/>
      <c r="D16" s="116" t="s">
        <v>25</v>
      </c>
      <c r="E16" s="115"/>
      <c r="F16" s="160">
        <v>641914488</v>
      </c>
      <c r="H16" s="130"/>
      <c r="I16" s="130"/>
      <c r="J16" s="130"/>
      <c r="BD16" s="116" t="s">
        <v>25</v>
      </c>
      <c r="BE16" s="115"/>
      <c r="BF16" s="119">
        <v>641914488</v>
      </c>
      <c r="BH16" s="130"/>
      <c r="BI16" s="130"/>
      <c r="BJ16" s="130"/>
      <c r="BL16" s="116" t="s">
        <v>25</v>
      </c>
      <c r="BM16" s="115"/>
      <c r="BN16" s="119">
        <v>1357238700</v>
      </c>
      <c r="BP16" s="130"/>
      <c r="BQ16" s="130"/>
      <c r="BR16" s="130"/>
      <c r="BU16" s="123" t="s">
        <v>25</v>
      </c>
      <c r="BV16" s="115"/>
      <c r="BW16" s="150">
        <v>1318559000</v>
      </c>
      <c r="BY16" s="137"/>
      <c r="BZ16" s="137"/>
      <c r="CA16" s="137"/>
      <c r="CC16" s="123" t="s">
        <v>25</v>
      </c>
      <c r="CD16" s="115"/>
      <c r="CE16" s="150">
        <v>18893888857</v>
      </c>
      <c r="CG16" s="137"/>
      <c r="CH16" s="137"/>
      <c r="CI16" s="137"/>
    </row>
    <row r="17" spans="1:87" ht="18.75" thickBot="1">
      <c r="A17" s="98" t="s">
        <v>39</v>
      </c>
      <c r="B17" s="106" t="str">
        <f>IF(A16="O","Oferta",IF(A16="","",IF(A16="p","Presupuesto Oficial")))</f>
        <v>Presupuesto Oficial</v>
      </c>
      <c r="C17" s="122">
        <v>365000000</v>
      </c>
      <c r="D17" s="116" t="s">
        <v>29</v>
      </c>
      <c r="E17" s="115"/>
      <c r="F17" s="160">
        <v>756148034</v>
      </c>
      <c r="H17" s="130"/>
      <c r="I17" s="130"/>
      <c r="J17" s="130"/>
      <c r="BD17" s="116" t="s">
        <v>29</v>
      </c>
      <c r="BE17" s="115"/>
      <c r="BF17" s="119">
        <v>756148034</v>
      </c>
      <c r="BH17" s="130"/>
      <c r="BI17" s="130"/>
      <c r="BJ17" s="130"/>
      <c r="BL17" s="116" t="s">
        <v>29</v>
      </c>
      <c r="BM17" s="115"/>
      <c r="BN17" s="119">
        <v>1856695016</v>
      </c>
      <c r="BP17" s="130"/>
      <c r="BQ17" s="130"/>
      <c r="BR17" s="130"/>
      <c r="BU17" s="123" t="s">
        <v>29</v>
      </c>
      <c r="BV17" s="115"/>
      <c r="BW17" s="150">
        <v>1655475000</v>
      </c>
      <c r="BY17" s="137"/>
      <c r="BZ17" s="137"/>
      <c r="CA17" s="137"/>
      <c r="CC17" s="123" t="s">
        <v>29</v>
      </c>
      <c r="CD17" s="115"/>
      <c r="CE17" s="150">
        <v>21003013010</v>
      </c>
      <c r="CG17" s="137"/>
      <c r="CH17" s="137"/>
      <c r="CI17" s="137"/>
    </row>
    <row r="18" spans="1:87" ht="13.5" thickBot="1">
      <c r="A18" s="89">
        <v>2</v>
      </c>
      <c r="B18" s="78"/>
      <c r="C18" s="50"/>
      <c r="D18" s="116" t="s">
        <v>26</v>
      </c>
      <c r="E18" s="115"/>
      <c r="F18" s="160">
        <v>311034184</v>
      </c>
      <c r="H18" s="130"/>
      <c r="I18" s="130"/>
      <c r="J18" s="130"/>
      <c r="BD18" s="116" t="s">
        <v>26</v>
      </c>
      <c r="BE18" s="115"/>
      <c r="BF18" s="119">
        <v>311034184</v>
      </c>
      <c r="BH18" s="130"/>
      <c r="BI18" s="130"/>
      <c r="BJ18" s="130"/>
      <c r="BL18" s="116" t="s">
        <v>26</v>
      </c>
      <c r="BM18" s="115"/>
      <c r="BN18" s="119">
        <v>684388400</v>
      </c>
      <c r="BP18" s="130"/>
      <c r="BQ18" s="130"/>
      <c r="BR18" s="130"/>
      <c r="BU18" s="123" t="s">
        <v>26</v>
      </c>
      <c r="BV18" s="115"/>
      <c r="BW18" s="150">
        <v>409308100</v>
      </c>
      <c r="BY18" s="137"/>
      <c r="BZ18" s="137"/>
      <c r="CA18" s="137"/>
      <c r="CC18" s="123" t="s">
        <v>26</v>
      </c>
      <c r="CD18" s="115"/>
      <c r="CE18" s="150">
        <v>9764801327</v>
      </c>
      <c r="CG18" s="137"/>
      <c r="CH18" s="137"/>
      <c r="CI18" s="137"/>
    </row>
    <row r="19" spans="1:87" ht="27.75" thickBot="1">
      <c r="A19" s="98" t="s">
        <v>48</v>
      </c>
      <c r="D19" s="116" t="s">
        <v>30</v>
      </c>
      <c r="E19" s="115"/>
      <c r="F19" s="160">
        <v>371460299</v>
      </c>
      <c r="H19" s="130"/>
      <c r="I19" s="130"/>
      <c r="J19" s="130"/>
      <c r="BD19" s="116" t="s">
        <v>30</v>
      </c>
      <c r="BE19" s="115"/>
      <c r="BF19" s="119">
        <v>371460299</v>
      </c>
      <c r="BH19" s="130"/>
      <c r="BI19" s="130"/>
      <c r="BJ19" s="130"/>
      <c r="BL19" s="116" t="s">
        <v>30</v>
      </c>
      <c r="BM19" s="115"/>
      <c r="BN19" s="119">
        <v>710188400</v>
      </c>
      <c r="BP19" s="130"/>
      <c r="BQ19" s="130"/>
      <c r="BR19" s="130"/>
      <c r="BU19" s="123" t="s">
        <v>30</v>
      </c>
      <c r="BV19" s="115"/>
      <c r="BW19" s="150">
        <v>988865900</v>
      </c>
      <c r="BY19" s="137"/>
      <c r="BZ19" s="137"/>
      <c r="CA19" s="137"/>
      <c r="CC19" s="123" t="s">
        <v>30</v>
      </c>
      <c r="CD19" s="115"/>
      <c r="CE19" s="150">
        <v>13021771178</v>
      </c>
      <c r="CG19" s="137"/>
      <c r="CH19" s="137"/>
      <c r="CI19" s="137"/>
    </row>
    <row r="20" spans="1:87" ht="13.5" thickBot="1">
      <c r="A20" s="89"/>
      <c r="B20" s="78"/>
      <c r="C20" s="50"/>
      <c r="D20" s="148" t="s">
        <v>73</v>
      </c>
      <c r="E20" s="128"/>
      <c r="F20" s="161">
        <f>+F17-F19</f>
        <v>384687735</v>
      </c>
      <c r="H20" s="130" t="s">
        <v>61</v>
      </c>
      <c r="I20" s="135">
        <v>41</v>
      </c>
      <c r="J20" s="136">
        <v>6027652000</v>
      </c>
      <c r="BD20" s="148" t="s">
        <v>73</v>
      </c>
      <c r="BE20" s="128"/>
      <c r="BF20" s="149">
        <f>+BF17-BF19</f>
        <v>384687735</v>
      </c>
      <c r="BH20" s="130" t="s">
        <v>61</v>
      </c>
      <c r="BI20" s="135">
        <v>41</v>
      </c>
      <c r="BJ20" s="136">
        <v>6027652000</v>
      </c>
      <c r="BL20" s="148" t="s">
        <v>73</v>
      </c>
      <c r="BM20" s="128"/>
      <c r="BN20" s="149">
        <f>+BN17-BN19</f>
        <v>1146506616</v>
      </c>
      <c r="BP20" s="130" t="s">
        <v>61</v>
      </c>
      <c r="BQ20" s="135">
        <v>41</v>
      </c>
      <c r="BR20" s="136">
        <v>6027652000</v>
      </c>
      <c r="BU20" s="151" t="s">
        <v>60</v>
      </c>
      <c r="BV20" s="128"/>
      <c r="BW20" s="152">
        <f>+BW17-BW19</f>
        <v>666609100</v>
      </c>
      <c r="BY20" s="137" t="s">
        <v>61</v>
      </c>
      <c r="BZ20" s="135">
        <v>41</v>
      </c>
      <c r="CA20" s="136">
        <v>5170178000</v>
      </c>
      <c r="CC20" s="151" t="s">
        <v>60</v>
      </c>
      <c r="CD20" s="128"/>
      <c r="CE20" s="152">
        <f>+CE17-CE19</f>
        <v>7981241832</v>
      </c>
      <c r="CG20" s="137" t="s">
        <v>61</v>
      </c>
      <c r="CH20" s="135">
        <v>41</v>
      </c>
      <c r="CI20" s="136">
        <v>2396589000</v>
      </c>
    </row>
    <row r="21" spans="1:87" ht="13.5" customHeight="1" hidden="1" thickBot="1">
      <c r="A21" s="89"/>
      <c r="B21" s="78"/>
      <c r="C21" s="50"/>
      <c r="D21" s="143" t="s">
        <v>74</v>
      </c>
      <c r="E21" s="142"/>
      <c r="F21" s="144">
        <v>8499217172</v>
      </c>
      <c r="H21" s="131" t="s">
        <v>62</v>
      </c>
      <c r="I21" s="135"/>
      <c r="J21" s="137"/>
      <c r="BD21" s="143" t="s">
        <v>74</v>
      </c>
      <c r="BE21" s="142"/>
      <c r="BF21" s="144">
        <v>8499217172</v>
      </c>
      <c r="BH21" s="131" t="s">
        <v>62</v>
      </c>
      <c r="BI21" s="135"/>
      <c r="BJ21" s="137"/>
      <c r="BL21" s="143" t="s">
        <v>74</v>
      </c>
      <c r="BM21" s="142"/>
      <c r="BN21" s="144">
        <v>8499217172</v>
      </c>
      <c r="BP21" s="131" t="s">
        <v>62</v>
      </c>
      <c r="BQ21" s="135"/>
      <c r="BR21" s="137"/>
      <c r="BW21" s="153"/>
      <c r="BY21" s="138" t="s">
        <v>62</v>
      </c>
      <c r="BZ21" s="135">
        <v>136</v>
      </c>
      <c r="CA21" s="137"/>
      <c r="CE21" s="153"/>
      <c r="CG21" s="138" t="s">
        <v>62</v>
      </c>
      <c r="CH21" s="135">
        <v>143</v>
      </c>
      <c r="CI21" s="137"/>
    </row>
    <row r="22" spans="1:87" ht="13.5" customHeight="1" hidden="1" thickBot="1">
      <c r="A22" s="89"/>
      <c r="B22" s="78"/>
      <c r="C22" s="50"/>
      <c r="D22" s="116"/>
      <c r="E22" s="115"/>
      <c r="F22" s="120"/>
      <c r="H22" s="130" t="s">
        <v>65</v>
      </c>
      <c r="I22" s="137"/>
      <c r="J22" s="136"/>
      <c r="BD22" s="116"/>
      <c r="BE22" s="115"/>
      <c r="BF22" s="120"/>
      <c r="BH22" s="130" t="s">
        <v>65</v>
      </c>
      <c r="BI22" s="137"/>
      <c r="BJ22" s="136"/>
      <c r="BL22" s="116"/>
      <c r="BM22" s="115"/>
      <c r="BN22" s="120"/>
      <c r="BP22" s="130" t="s">
        <v>65</v>
      </c>
      <c r="BQ22" s="137"/>
      <c r="BR22" s="136"/>
      <c r="BU22" s="61"/>
      <c r="BW22" s="110"/>
      <c r="BY22" s="137" t="s">
        <v>65</v>
      </c>
      <c r="BZ22" s="137"/>
      <c r="CA22" s="136"/>
      <c r="CC22" s="61"/>
      <c r="CE22" s="110"/>
      <c r="CG22" s="137" t="s">
        <v>65</v>
      </c>
      <c r="CH22" s="137"/>
      <c r="CI22" s="136"/>
    </row>
    <row r="23" spans="1:87" ht="13.5" customHeight="1" hidden="1" thickBot="1">
      <c r="A23" s="89"/>
      <c r="B23" s="78"/>
      <c r="C23" s="50"/>
      <c r="D23" s="116"/>
      <c r="E23" s="115"/>
      <c r="F23" s="120"/>
      <c r="H23" s="130"/>
      <c r="I23" s="130"/>
      <c r="J23" s="130"/>
      <c r="BD23" s="116"/>
      <c r="BE23" s="115"/>
      <c r="BF23" s="120"/>
      <c r="BH23" s="130"/>
      <c r="BI23" s="130"/>
      <c r="BJ23" s="130"/>
      <c r="BL23" s="116"/>
      <c r="BM23" s="115"/>
      <c r="BN23" s="120"/>
      <c r="BP23" s="130"/>
      <c r="BQ23" s="130"/>
      <c r="BR23" s="130"/>
      <c r="BU23" s="61"/>
      <c r="BW23" s="110"/>
      <c r="BY23" s="137"/>
      <c r="BZ23" s="137"/>
      <c r="CA23" s="137"/>
      <c r="CC23" s="61"/>
      <c r="CE23" s="110"/>
      <c r="CG23" s="137"/>
      <c r="CH23" s="137"/>
      <c r="CI23" s="137"/>
    </row>
    <row r="24" spans="1:87" ht="13.5" customHeight="1" hidden="1" thickBot="1">
      <c r="A24" s="89"/>
      <c r="B24" s="78"/>
      <c r="C24" s="50"/>
      <c r="D24" s="116"/>
      <c r="E24" s="115"/>
      <c r="F24" s="120"/>
      <c r="H24" s="130" t="s">
        <v>63</v>
      </c>
      <c r="I24" s="130"/>
      <c r="J24" s="132">
        <f>SUM(J20:J23)</f>
        <v>6027652000</v>
      </c>
      <c r="BD24" s="116"/>
      <c r="BE24" s="115"/>
      <c r="BF24" s="120"/>
      <c r="BH24" s="130" t="s">
        <v>63</v>
      </c>
      <c r="BI24" s="130"/>
      <c r="BJ24" s="132">
        <f>SUM(BJ20:BJ23)</f>
        <v>6027652000</v>
      </c>
      <c r="BL24" s="116"/>
      <c r="BM24" s="115"/>
      <c r="BN24" s="120"/>
      <c r="BP24" s="130" t="s">
        <v>63</v>
      </c>
      <c r="BQ24" s="130"/>
      <c r="BR24" s="132">
        <f>SUM(BR20:BR23)</f>
        <v>6027652000</v>
      </c>
      <c r="BU24" s="61"/>
      <c r="BW24" s="110"/>
      <c r="BY24" s="137" t="s">
        <v>63</v>
      </c>
      <c r="BZ24" s="137"/>
      <c r="CA24" s="139">
        <f>SUM(CA20:CA23)</f>
        <v>5170178000</v>
      </c>
      <c r="CC24" s="61"/>
      <c r="CE24" s="110"/>
      <c r="CG24" s="137" t="s">
        <v>63</v>
      </c>
      <c r="CH24" s="137"/>
      <c r="CI24" s="139">
        <f>SUM(CI20:CI23)</f>
        <v>2396589000</v>
      </c>
    </row>
    <row r="25" spans="1:87" ht="13.5" customHeight="1" hidden="1" thickBot="1">
      <c r="A25" s="89"/>
      <c r="B25" s="78"/>
      <c r="C25" s="50"/>
      <c r="D25" s="116"/>
      <c r="E25" s="115"/>
      <c r="F25" s="120"/>
      <c r="H25" s="130"/>
      <c r="I25" s="130"/>
      <c r="J25" s="132"/>
      <c r="BD25" s="116"/>
      <c r="BE25" s="115"/>
      <c r="BF25" s="120"/>
      <c r="BH25" s="130"/>
      <c r="BI25" s="130"/>
      <c r="BJ25" s="132"/>
      <c r="BL25" s="116"/>
      <c r="BM25" s="115"/>
      <c r="BN25" s="120"/>
      <c r="BP25" s="130"/>
      <c r="BQ25" s="130"/>
      <c r="BR25" s="132"/>
      <c r="BU25" s="61"/>
      <c r="BW25" s="110"/>
      <c r="BY25" s="137">
        <v>183550000</v>
      </c>
      <c r="BZ25" s="137"/>
      <c r="CA25" s="139"/>
      <c r="CC25" s="61"/>
      <c r="CE25" s="110"/>
      <c r="CG25" s="137">
        <v>973302653</v>
      </c>
      <c r="CH25" s="137"/>
      <c r="CI25" s="139"/>
    </row>
    <row r="26" spans="1:87" ht="13.5" customHeight="1" hidden="1" thickBot="1">
      <c r="A26" s="89"/>
      <c r="B26" s="78"/>
      <c r="C26" s="50"/>
      <c r="D26" s="116"/>
      <c r="E26" s="115"/>
      <c r="F26" s="120"/>
      <c r="H26" s="130" t="s">
        <v>64</v>
      </c>
      <c r="I26" s="130"/>
      <c r="J26" s="132">
        <f>+J24-F20</f>
        <v>5642964265</v>
      </c>
      <c r="BD26" s="116"/>
      <c r="BE26" s="115"/>
      <c r="BF26" s="120"/>
      <c r="BH26" s="130" t="s">
        <v>64</v>
      </c>
      <c r="BI26" s="130"/>
      <c r="BJ26" s="132">
        <f>+BJ24-BF20</f>
        <v>5642964265</v>
      </c>
      <c r="BL26" s="116"/>
      <c r="BM26" s="115"/>
      <c r="BN26" s="120"/>
      <c r="BP26" s="130" t="s">
        <v>64</v>
      </c>
      <c r="BQ26" s="130"/>
      <c r="BR26" s="132">
        <f>+BR24-BN20</f>
        <v>4881145384</v>
      </c>
      <c r="BU26" s="61"/>
      <c r="BW26" s="110"/>
      <c r="BY26" s="137" t="s">
        <v>64</v>
      </c>
      <c r="BZ26" s="137"/>
      <c r="CA26" s="139">
        <f>+CA24-BW20</f>
        <v>4503568900</v>
      </c>
      <c r="CC26" s="61"/>
      <c r="CE26" s="110"/>
      <c r="CG26" s="137" t="s">
        <v>64</v>
      </c>
      <c r="CH26" s="137"/>
      <c r="CI26" s="139">
        <f>+CI24-CE20</f>
        <v>-5584652832</v>
      </c>
    </row>
    <row r="27" spans="1:87" ht="13.5" customHeight="1" hidden="1" thickBot="1">
      <c r="A27" s="89"/>
      <c r="B27" s="78"/>
      <c r="C27" s="50"/>
      <c r="D27" s="116"/>
      <c r="E27" s="115"/>
      <c r="F27" s="120"/>
      <c r="H27" s="130" t="s">
        <v>66</v>
      </c>
      <c r="I27" s="130"/>
      <c r="J27" s="133">
        <f>1-(J24/F21)</f>
        <v>0.29079915502599185</v>
      </c>
      <c r="BD27" s="116"/>
      <c r="BE27" s="115"/>
      <c r="BF27" s="120"/>
      <c r="BH27" s="130" t="s">
        <v>66</v>
      </c>
      <c r="BI27" s="130"/>
      <c r="BJ27" s="133">
        <f>1-(BJ24/BF21)</f>
        <v>0.29079915502599185</v>
      </c>
      <c r="BL27" s="116"/>
      <c r="BM27" s="115"/>
      <c r="BN27" s="120"/>
      <c r="BP27" s="130" t="s">
        <v>66</v>
      </c>
      <c r="BQ27" s="130"/>
      <c r="BR27" s="133">
        <f>1-(BR24/BN21)</f>
        <v>0.29079915502599185</v>
      </c>
      <c r="BU27" s="61"/>
      <c r="BW27" s="110"/>
      <c r="BY27" s="137" t="s">
        <v>66</v>
      </c>
      <c r="BZ27" s="137"/>
      <c r="CA27" s="140">
        <f>1-(CA24/BW20)</f>
        <v>-6.755936725136215</v>
      </c>
      <c r="CC27" s="61"/>
      <c r="CE27" s="110"/>
      <c r="CG27" s="137" t="s">
        <v>66</v>
      </c>
      <c r="CH27" s="137"/>
      <c r="CI27" s="140">
        <f>1-(CI24/CE20)</f>
        <v>0.6997222925396004</v>
      </c>
    </row>
    <row r="28" spans="1:87" ht="13.5" customHeight="1" hidden="1" thickBot="1">
      <c r="A28" s="89"/>
      <c r="B28" s="78"/>
      <c r="C28" s="50"/>
      <c r="D28" s="127" t="s">
        <v>67</v>
      </c>
      <c r="E28" s="115"/>
      <c r="F28" s="120"/>
      <c r="H28" s="130"/>
      <c r="I28" s="130"/>
      <c r="J28" s="134" t="str">
        <f>IF(J27&gt;=0.4,"NO APRUEBA","APRUEBA")</f>
        <v>APRUEBA</v>
      </c>
      <c r="BD28" s="127" t="s">
        <v>67</v>
      </c>
      <c r="BE28" s="115"/>
      <c r="BF28" s="120"/>
      <c r="BH28" s="130"/>
      <c r="BI28" s="130"/>
      <c r="BJ28" s="134" t="str">
        <f>IF(BJ27&gt;=0.4,"NO APRUEBA","APRUEBA")</f>
        <v>APRUEBA</v>
      </c>
      <c r="BL28" s="127" t="s">
        <v>67</v>
      </c>
      <c r="BM28" s="115"/>
      <c r="BN28" s="120"/>
      <c r="BP28" s="130"/>
      <c r="BQ28" s="130"/>
      <c r="BR28" s="134" t="str">
        <f>IF(BR27&gt;=0.4,"NO APRUEBA","APRUEBA")</f>
        <v>APRUEBA</v>
      </c>
      <c r="BU28" s="111" t="s">
        <v>67</v>
      </c>
      <c r="BW28" s="110"/>
      <c r="BY28" s="137"/>
      <c r="BZ28" s="137"/>
      <c r="CA28" s="141" t="str">
        <f>IF(CA27&gt;=0.005,"NO APRUEBA","APRUEBA")</f>
        <v>APRUEBA</v>
      </c>
      <c r="CC28" s="111" t="s">
        <v>67</v>
      </c>
      <c r="CE28" s="110"/>
      <c r="CG28" s="137"/>
      <c r="CH28" s="137"/>
      <c r="CI28" s="141" t="str">
        <f>IF(CI27&gt;=0.005,"NO APRUEBA","APRUEBA")</f>
        <v>NO APRUEBA</v>
      </c>
    </row>
    <row r="29" spans="2:87" ht="13.5" customHeight="1" hidden="1" thickBot="1">
      <c r="B29" s="83"/>
      <c r="C29" s="49"/>
      <c r="D29" s="117" t="s">
        <v>75</v>
      </c>
      <c r="E29" s="115"/>
      <c r="F29" s="119">
        <v>46656269000</v>
      </c>
      <c r="H29" s="130"/>
      <c r="I29" s="130"/>
      <c r="J29" s="130"/>
      <c r="BD29" s="117" t="s">
        <v>75</v>
      </c>
      <c r="BE29" s="115"/>
      <c r="BF29" s="119">
        <v>46656269000</v>
      </c>
      <c r="BH29" s="130"/>
      <c r="BI29" s="130"/>
      <c r="BJ29" s="130"/>
      <c r="BL29" s="117" t="s">
        <v>75</v>
      </c>
      <c r="BM29" s="115"/>
      <c r="BN29" s="119">
        <v>46656269000</v>
      </c>
      <c r="BP29" s="130"/>
      <c r="BQ29" s="130"/>
      <c r="BR29" s="130"/>
      <c r="BU29" s="67" t="s">
        <v>75</v>
      </c>
      <c r="BW29" s="74">
        <f>25855589987+5501825</f>
        <v>25861091812</v>
      </c>
      <c r="BY29" s="137"/>
      <c r="BZ29" s="137"/>
      <c r="CA29" s="137"/>
      <c r="CC29" s="67" t="s">
        <v>72</v>
      </c>
      <c r="CE29" s="74">
        <f>23914934000+90431000</f>
        <v>24005365000</v>
      </c>
      <c r="CG29" s="137"/>
      <c r="CH29" s="137"/>
      <c r="CI29" s="137"/>
    </row>
    <row r="30" spans="4:87" ht="12.75" customHeight="1" hidden="1">
      <c r="D30" s="117" t="s">
        <v>76</v>
      </c>
      <c r="E30" s="115">
        <v>72</v>
      </c>
      <c r="F30" s="119">
        <v>46667574000</v>
      </c>
      <c r="H30" s="130"/>
      <c r="I30" s="130"/>
      <c r="J30" s="130"/>
      <c r="BD30" s="117" t="s">
        <v>76</v>
      </c>
      <c r="BE30" s="115">
        <v>72</v>
      </c>
      <c r="BF30" s="119">
        <v>46667574000</v>
      </c>
      <c r="BH30" s="130"/>
      <c r="BI30" s="130"/>
      <c r="BJ30" s="130"/>
      <c r="BL30" s="117" t="s">
        <v>76</v>
      </c>
      <c r="BM30" s="115">
        <v>72</v>
      </c>
      <c r="BN30" s="119">
        <v>46667574000</v>
      </c>
      <c r="BP30" s="130"/>
      <c r="BQ30" s="130"/>
      <c r="BR30" s="130"/>
      <c r="BU30" s="67" t="s">
        <v>76</v>
      </c>
      <c r="BW30" s="74">
        <v>25861092000</v>
      </c>
      <c r="BY30" s="137"/>
      <c r="BZ30" s="137"/>
      <c r="CA30" s="137"/>
      <c r="CC30" s="67" t="s">
        <v>76</v>
      </c>
      <c r="CE30" s="74">
        <v>24005366000</v>
      </c>
      <c r="CG30" s="137"/>
      <c r="CH30" s="137"/>
      <c r="CI30" s="137"/>
    </row>
    <row r="31" spans="4:87" ht="13.5" customHeight="1" hidden="1" thickBot="1">
      <c r="D31" s="118" t="s">
        <v>46</v>
      </c>
      <c r="E31" s="128"/>
      <c r="F31" s="121">
        <v>0</v>
      </c>
      <c r="H31" s="130"/>
      <c r="I31" s="130"/>
      <c r="J31" s="130"/>
      <c r="BD31" s="118" t="s">
        <v>46</v>
      </c>
      <c r="BE31" s="128"/>
      <c r="BF31" s="121">
        <v>0</v>
      </c>
      <c r="BH31" s="130"/>
      <c r="BI31" s="130"/>
      <c r="BJ31" s="130"/>
      <c r="BL31" s="118" t="s">
        <v>46</v>
      </c>
      <c r="BM31" s="128"/>
      <c r="BN31" s="121">
        <v>0</v>
      </c>
      <c r="BP31" s="130"/>
      <c r="BQ31" s="130"/>
      <c r="BR31" s="130"/>
      <c r="BU31" s="68" t="s">
        <v>46</v>
      </c>
      <c r="BW31" s="75">
        <v>0</v>
      </c>
      <c r="BY31" s="137"/>
      <c r="BZ31" s="137"/>
      <c r="CA31" s="137"/>
      <c r="CC31" s="68" t="s">
        <v>46</v>
      </c>
      <c r="CE31" s="75">
        <v>0</v>
      </c>
      <c r="CG31" s="137"/>
      <c r="CH31" s="137"/>
      <c r="CI31" s="137"/>
    </row>
    <row r="32" spans="4:87" ht="12.75">
      <c r="D32" s="76"/>
      <c r="F32" s="90"/>
      <c r="BD32" s="76"/>
      <c r="BF32" s="90"/>
      <c r="BL32" s="76"/>
      <c r="BN32" s="90"/>
      <c r="BU32" s="76"/>
      <c r="BW32" s="90"/>
      <c r="BY32" s="137"/>
      <c r="BZ32" s="137"/>
      <c r="CA32" s="137"/>
      <c r="CC32" s="76"/>
      <c r="CE32" s="90"/>
      <c r="CG32" s="137"/>
      <c r="CH32" s="137"/>
      <c r="CI32" s="137"/>
    </row>
    <row r="33" spans="4:87" ht="12.75">
      <c r="D33" s="76"/>
      <c r="F33" s="90"/>
      <c r="BD33" s="76"/>
      <c r="BF33" s="90"/>
      <c r="BL33" s="76"/>
      <c r="BN33" s="90"/>
      <c r="BU33" s="76"/>
      <c r="BW33" s="90"/>
      <c r="CC33" s="76"/>
      <c r="CE33" s="90"/>
      <c r="CG33" s="137"/>
      <c r="CH33" s="137"/>
      <c r="CI33" s="137"/>
    </row>
    <row r="34" spans="4:83" ht="13.5" thickBot="1">
      <c r="D34" s="76" t="s">
        <v>45</v>
      </c>
      <c r="F34" s="90"/>
      <c r="BD34" s="76" t="s">
        <v>45</v>
      </c>
      <c r="BF34" s="90"/>
      <c r="BL34" s="76" t="s">
        <v>45</v>
      </c>
      <c r="BN34" s="90"/>
      <c r="BU34" s="76"/>
      <c r="BW34" s="90"/>
      <c r="CC34" s="76"/>
      <c r="CE34" s="90"/>
    </row>
    <row r="35" spans="2:87" ht="21.75" customHeight="1" thickBot="1">
      <c r="B35" s="77"/>
      <c r="C35" s="107"/>
      <c r="D35" s="175" t="str">
        <f>+D5</f>
        <v>GESTION INTEGRAL ENERGETICA S.A.</v>
      </c>
      <c r="E35" s="176"/>
      <c r="F35" s="176"/>
      <c r="G35" s="176"/>
      <c r="H35" s="176"/>
      <c r="I35" s="176"/>
      <c r="J35" s="177"/>
      <c r="BD35" s="175" t="str">
        <f>+BD5</f>
        <v>GESTION INTEGRAL ENERGETICA S,A,</v>
      </c>
      <c r="BE35" s="176"/>
      <c r="BF35" s="176"/>
      <c r="BG35" s="176"/>
      <c r="BH35" s="176"/>
      <c r="BI35" s="176"/>
      <c r="BJ35" s="177"/>
      <c r="BL35" s="175" t="str">
        <f>+BL5</f>
        <v>CONTROLES Y  AUTOMATIZACION S.A.</v>
      </c>
      <c r="BM35" s="176"/>
      <c r="BN35" s="176"/>
      <c r="BO35" s="176"/>
      <c r="BP35" s="176"/>
      <c r="BQ35" s="176"/>
      <c r="BR35" s="177"/>
      <c r="BU35" s="175" t="str">
        <f>+BU5</f>
        <v>HACER DE COLOMBIA LTDA</v>
      </c>
      <c r="BV35" s="176"/>
      <c r="BW35" s="176"/>
      <c r="BX35" s="176"/>
      <c r="BY35" s="176"/>
      <c r="BZ35" s="176"/>
      <c r="CA35" s="177"/>
      <c r="CB35" s="91"/>
      <c r="CC35" s="175" t="str">
        <f>+CC5</f>
        <v>OBRAS Y DISEÑOS S.A </v>
      </c>
      <c r="CD35" s="176"/>
      <c r="CE35" s="176"/>
      <c r="CF35" s="176"/>
      <c r="CG35" s="176"/>
      <c r="CH35" s="176"/>
      <c r="CI35" s="177"/>
    </row>
    <row r="36" spans="2:87" ht="13.5" thickBot="1">
      <c r="B36" s="78"/>
      <c r="C36" s="79"/>
      <c r="D36" s="77"/>
      <c r="E36" s="101"/>
      <c r="F36" s="101"/>
      <c r="G36" s="101"/>
      <c r="H36" s="101"/>
      <c r="I36" s="101"/>
      <c r="J36" s="102"/>
      <c r="BD36" s="77"/>
      <c r="BE36" s="101"/>
      <c r="BF36" s="101"/>
      <c r="BG36" s="101"/>
      <c r="BH36" s="101"/>
      <c r="BI36" s="101"/>
      <c r="BJ36" s="102"/>
      <c r="BL36" s="77"/>
      <c r="BM36" s="101"/>
      <c r="BN36" s="101"/>
      <c r="BO36" s="101"/>
      <c r="BP36" s="101"/>
      <c r="BQ36" s="101"/>
      <c r="BR36" s="102"/>
      <c r="BU36" s="77"/>
      <c r="BV36" s="101"/>
      <c r="BW36" s="101"/>
      <c r="BX36" s="101"/>
      <c r="BY36" s="101"/>
      <c r="BZ36" s="101"/>
      <c r="CA36" s="102"/>
      <c r="CC36" s="77"/>
      <c r="CD36" s="101"/>
      <c r="CE36" s="101"/>
      <c r="CF36" s="101"/>
      <c r="CG36" s="101"/>
      <c r="CH36" s="101"/>
      <c r="CI36" s="102"/>
    </row>
    <row r="37" spans="1:87" ht="12.75">
      <c r="A37" s="203">
        <v>1.4</v>
      </c>
      <c r="B37" s="193" t="s">
        <v>27</v>
      </c>
      <c r="C37" s="194" t="str">
        <f>CONCATENATE(C313,"  ",A37)</f>
        <v>Activo corriente / Pasivo corriente &gt;=   1,4</v>
      </c>
      <c r="D37" s="57" t="s">
        <v>25</v>
      </c>
      <c r="E37" s="50"/>
      <c r="F37" s="56">
        <f>+F16</f>
        <v>641914488</v>
      </c>
      <c r="G37" s="50"/>
      <c r="H37" s="209">
        <f>+F37/F38</f>
        <v>2.0638068772530804</v>
      </c>
      <c r="I37" s="50"/>
      <c r="J37" s="192" t="str">
        <f>IF(F37="","",IF(H37&gt;=A37,"CUMPLE","NO CUMPLE"))</f>
        <v>CUMPLE</v>
      </c>
      <c r="BD37" s="57" t="s">
        <v>25</v>
      </c>
      <c r="BE37" s="50"/>
      <c r="BF37" s="56">
        <f>+BF16</f>
        <v>641914488</v>
      </c>
      <c r="BG37" s="50"/>
      <c r="BH37" s="209">
        <f>+BF37/BF38</f>
        <v>2.0638068772530804</v>
      </c>
      <c r="BI37" s="50"/>
      <c r="BJ37" s="192" t="str">
        <f>IF(BF37="","",IF(BH37&gt;=$A37,"CUMPLE","NO CUMPLE"))</f>
        <v>CUMPLE</v>
      </c>
      <c r="BL37" s="57" t="s">
        <v>25</v>
      </c>
      <c r="BM37" s="50"/>
      <c r="BN37" s="56">
        <f>+BN16</f>
        <v>1357238700</v>
      </c>
      <c r="BO37" s="50"/>
      <c r="BP37" s="209">
        <f>+BN37/BN38</f>
        <v>1.9831410058966517</v>
      </c>
      <c r="BQ37" s="50"/>
      <c r="BR37" s="192" t="str">
        <f>IF(BN37="","",IF(BP37&gt;=$A37,"CUMPLE","NO CUMPLE"))</f>
        <v>CUMPLE</v>
      </c>
      <c r="BU37" s="57" t="s">
        <v>25</v>
      </c>
      <c r="BV37" s="50"/>
      <c r="BW37" s="56">
        <f>+BW16</f>
        <v>1318559000</v>
      </c>
      <c r="BX37" s="50"/>
      <c r="BY37" s="209">
        <f>+BW37/BW38</f>
        <v>3.2214339271565846</v>
      </c>
      <c r="BZ37" s="50"/>
      <c r="CA37" s="192" t="str">
        <f>IF(BW37="","",IF(BY37&gt;=A37,"CUMPLE","NO CUMPLE"))</f>
        <v>CUMPLE</v>
      </c>
      <c r="CC37" s="57" t="s">
        <v>25</v>
      </c>
      <c r="CD37" s="50"/>
      <c r="CE37" s="56">
        <f>+CE16</f>
        <v>18893888857</v>
      </c>
      <c r="CF37" s="50"/>
      <c r="CG37" s="209">
        <f>+CE37/CE38</f>
        <v>1.9348974161673693</v>
      </c>
      <c r="CH37" s="50"/>
      <c r="CI37" s="192" t="str">
        <f>IF(CE37="","",IF(CG37&gt;=A37,"CUMPLE","NO CUMPLE"))</f>
        <v>CUMPLE</v>
      </c>
    </row>
    <row r="38" spans="1:87" ht="13.5" thickBot="1">
      <c r="A38" s="203" t="str">
        <f>VLOOKUP($A$14,COMBINACIONES!$B$4:$I$20,3,0)</f>
        <v>Proveeduría de bienes.</v>
      </c>
      <c r="B38" s="193"/>
      <c r="C38" s="194"/>
      <c r="D38" s="58" t="s">
        <v>26</v>
      </c>
      <c r="E38" s="50"/>
      <c r="F38" s="73">
        <f>+F18</f>
        <v>311034184</v>
      </c>
      <c r="G38" s="50"/>
      <c r="H38" s="209"/>
      <c r="I38" s="50"/>
      <c r="J38" s="192"/>
      <c r="BD38" s="58" t="s">
        <v>26</v>
      </c>
      <c r="BE38" s="50"/>
      <c r="BF38" s="73">
        <f>+BF18</f>
        <v>311034184</v>
      </c>
      <c r="BG38" s="50"/>
      <c r="BH38" s="209"/>
      <c r="BI38" s="50"/>
      <c r="BJ38" s="192"/>
      <c r="BL38" s="58" t="s">
        <v>26</v>
      </c>
      <c r="BM38" s="50"/>
      <c r="BN38" s="73">
        <f>+BN18</f>
        <v>684388400</v>
      </c>
      <c r="BO38" s="50"/>
      <c r="BP38" s="209"/>
      <c r="BQ38" s="50"/>
      <c r="BR38" s="192"/>
      <c r="BU38" s="58" t="s">
        <v>26</v>
      </c>
      <c r="BV38" s="50"/>
      <c r="BW38" s="73">
        <f>+BW18</f>
        <v>409308100</v>
      </c>
      <c r="BX38" s="50"/>
      <c r="BY38" s="209"/>
      <c r="BZ38" s="50"/>
      <c r="CA38" s="192"/>
      <c r="CC38" s="58" t="s">
        <v>26</v>
      </c>
      <c r="CD38" s="50"/>
      <c r="CE38" s="73">
        <f>+CE18</f>
        <v>9764801327</v>
      </c>
      <c r="CF38" s="50"/>
      <c r="CG38" s="209"/>
      <c r="CH38" s="50"/>
      <c r="CI38" s="192"/>
    </row>
    <row r="39" spans="1:87" ht="13.5" thickBot="1">
      <c r="A39" s="69"/>
      <c r="B39" s="78"/>
      <c r="C39" s="79"/>
      <c r="D39" s="78"/>
      <c r="E39" s="50"/>
      <c r="F39" s="50"/>
      <c r="G39" s="50"/>
      <c r="H39" s="50"/>
      <c r="I39" s="50"/>
      <c r="J39" s="80"/>
      <c r="BD39" s="78"/>
      <c r="BE39" s="50"/>
      <c r="BF39" s="50"/>
      <c r="BG39" s="50"/>
      <c r="BH39" s="50"/>
      <c r="BI39" s="50"/>
      <c r="BJ39" s="80"/>
      <c r="BL39" s="78"/>
      <c r="BM39" s="50"/>
      <c r="BN39" s="50"/>
      <c r="BO39" s="50"/>
      <c r="BP39" s="50"/>
      <c r="BQ39" s="50"/>
      <c r="BR39" s="80"/>
      <c r="BU39" s="78"/>
      <c r="BV39" s="50"/>
      <c r="BW39" s="50"/>
      <c r="BX39" s="50"/>
      <c r="BY39" s="50"/>
      <c r="BZ39" s="50"/>
      <c r="CA39" s="80"/>
      <c r="CC39" s="78"/>
      <c r="CD39" s="50"/>
      <c r="CE39" s="50"/>
      <c r="CF39" s="50"/>
      <c r="CG39" s="50"/>
      <c r="CH39" s="50"/>
      <c r="CI39" s="80"/>
    </row>
    <row r="40" spans="1:87" ht="12.75">
      <c r="A40" s="204">
        <v>0.7</v>
      </c>
      <c r="B40" s="193" t="s">
        <v>28</v>
      </c>
      <c r="C40" s="194" t="str">
        <f>CONCATENATE(C314,"  ",A40)</f>
        <v>Pasivo total / Activo total  &lt;=   0,7</v>
      </c>
      <c r="D40" s="57" t="s">
        <v>30</v>
      </c>
      <c r="E40" s="50"/>
      <c r="F40" s="56">
        <f>+F19</f>
        <v>371460299</v>
      </c>
      <c r="G40" s="50"/>
      <c r="H40" s="191">
        <f>+F40/F41</f>
        <v>0.49125340845626003</v>
      </c>
      <c r="I40" s="50"/>
      <c r="J40" s="192" t="str">
        <f>IF(F40="","",IF(H40&lt;=A40,"CUMPLE","NO CUMPLE"))</f>
        <v>CUMPLE</v>
      </c>
      <c r="BD40" s="57" t="s">
        <v>30</v>
      </c>
      <c r="BE40" s="50"/>
      <c r="BF40" s="56">
        <f>+BF19</f>
        <v>371460299</v>
      </c>
      <c r="BG40" s="50"/>
      <c r="BH40" s="191">
        <f>+BF40/BF41</f>
        <v>0.49125340845626003</v>
      </c>
      <c r="BI40" s="50"/>
      <c r="BJ40" s="192" t="str">
        <f>IF(BF40="","",IF(BH40&lt;=$A40,"CUMPLE","NO CUMPLE"))</f>
        <v>CUMPLE</v>
      </c>
      <c r="BL40" s="57" t="s">
        <v>30</v>
      </c>
      <c r="BM40" s="50"/>
      <c r="BN40" s="56">
        <f>+BN19</f>
        <v>710188400</v>
      </c>
      <c r="BO40" s="50"/>
      <c r="BP40" s="191">
        <f>+BN40/BN41</f>
        <v>0.3825013768443271</v>
      </c>
      <c r="BQ40" s="50"/>
      <c r="BR40" s="192" t="str">
        <f>IF(BN40="","",IF(BP40&lt;=$A40,"CUMPLE","NO CUMPLE"))</f>
        <v>CUMPLE</v>
      </c>
      <c r="BU40" s="57" t="s">
        <v>30</v>
      </c>
      <c r="BV40" s="50"/>
      <c r="BW40" s="56">
        <f>+BW19</f>
        <v>988865900</v>
      </c>
      <c r="BX40" s="50"/>
      <c r="BY40" s="191">
        <f>+BW40/BW41</f>
        <v>0.597330615080264</v>
      </c>
      <c r="BZ40" s="50"/>
      <c r="CA40" s="192" t="str">
        <f>IF(BW40="","",IF(BY40&lt;=A40,"CUMPLE","NO CUMPLE"))</f>
        <v>CUMPLE</v>
      </c>
      <c r="CC40" s="57" t="s">
        <v>30</v>
      </c>
      <c r="CD40" s="50"/>
      <c r="CE40" s="56">
        <f>+CE19</f>
        <v>13021771178</v>
      </c>
      <c r="CF40" s="50"/>
      <c r="CG40" s="191">
        <f>+CE40/CE41</f>
        <v>0.6199953869380572</v>
      </c>
      <c r="CH40" s="50"/>
      <c r="CI40" s="192" t="str">
        <f>IF(CE40="","",IF(CG40&lt;=A40,"CUMPLE","NO CUMPLE"))</f>
        <v>CUMPLE</v>
      </c>
    </row>
    <row r="41" spans="1:87" ht="13.5" thickBot="1">
      <c r="A41" s="205" t="str">
        <f>VLOOKUP($A$14,COMBINACIONES!$B$4:$I$20,3,0)</f>
        <v>Proveeduría de bienes.</v>
      </c>
      <c r="B41" s="193"/>
      <c r="C41" s="194"/>
      <c r="D41" s="58" t="s">
        <v>29</v>
      </c>
      <c r="E41" s="50"/>
      <c r="F41" s="73">
        <f>+F17</f>
        <v>756148034</v>
      </c>
      <c r="G41" s="50"/>
      <c r="H41" s="191"/>
      <c r="I41" s="50"/>
      <c r="J41" s="192"/>
      <c r="BD41" s="58" t="s">
        <v>29</v>
      </c>
      <c r="BE41" s="50"/>
      <c r="BF41" s="73">
        <f>+BF17</f>
        <v>756148034</v>
      </c>
      <c r="BG41" s="50"/>
      <c r="BH41" s="191"/>
      <c r="BI41" s="50"/>
      <c r="BJ41" s="192"/>
      <c r="BL41" s="58" t="s">
        <v>29</v>
      </c>
      <c r="BM41" s="50"/>
      <c r="BN41" s="73">
        <f>+BN17</f>
        <v>1856695016</v>
      </c>
      <c r="BO41" s="50"/>
      <c r="BP41" s="191"/>
      <c r="BQ41" s="50"/>
      <c r="BR41" s="192"/>
      <c r="BU41" s="58" t="s">
        <v>29</v>
      </c>
      <c r="BV41" s="50"/>
      <c r="BW41" s="73">
        <f>+BW17</f>
        <v>1655475000</v>
      </c>
      <c r="BX41" s="50"/>
      <c r="BY41" s="191"/>
      <c r="BZ41" s="50"/>
      <c r="CA41" s="192"/>
      <c r="CC41" s="58" t="s">
        <v>29</v>
      </c>
      <c r="CD41" s="50"/>
      <c r="CE41" s="73">
        <f>+CE17</f>
        <v>21003013010</v>
      </c>
      <c r="CF41" s="50"/>
      <c r="CG41" s="191"/>
      <c r="CH41" s="50"/>
      <c r="CI41" s="192"/>
    </row>
    <row r="42" spans="1:87" ht="13.5" thickBot="1">
      <c r="A42" s="69"/>
      <c r="B42" s="78"/>
      <c r="C42" s="79"/>
      <c r="D42" s="78"/>
      <c r="E42" s="50"/>
      <c r="F42" s="50"/>
      <c r="G42" s="50"/>
      <c r="H42" s="50"/>
      <c r="I42" s="50"/>
      <c r="J42" s="80"/>
      <c r="BD42" s="78"/>
      <c r="BE42" s="50"/>
      <c r="BF42" s="50"/>
      <c r="BG42" s="50"/>
      <c r="BH42" s="50"/>
      <c r="BI42" s="50"/>
      <c r="BJ42" s="80"/>
      <c r="BL42" s="78"/>
      <c r="BM42" s="50"/>
      <c r="BN42" s="50"/>
      <c r="BO42" s="50"/>
      <c r="BP42" s="50"/>
      <c r="BQ42" s="50"/>
      <c r="BR42" s="80"/>
      <c r="BU42" s="78"/>
      <c r="BV42" s="50"/>
      <c r="BW42" s="50"/>
      <c r="BX42" s="50"/>
      <c r="BY42" s="50"/>
      <c r="BZ42" s="50"/>
      <c r="CA42" s="80"/>
      <c r="CC42" s="78"/>
      <c r="CD42" s="50"/>
      <c r="CE42" s="50"/>
      <c r="CF42" s="50"/>
      <c r="CG42" s="50"/>
      <c r="CH42" s="50"/>
      <c r="CI42" s="80"/>
    </row>
    <row r="43" spans="1:87" ht="12.75" customHeight="1">
      <c r="A43" s="206">
        <v>0.4</v>
      </c>
      <c r="B43" s="196" t="s">
        <v>35</v>
      </c>
      <c r="C43" s="200" t="str">
        <f>CONCATENATE(C315," ",A43," ",D315,F315,H315)</f>
        <v>(Activo corriente - Pasivo corriente) - (   0,4  * Presupuesto Oficial) = SCT</v>
      </c>
      <c r="D43" s="59" t="s">
        <v>37</v>
      </c>
      <c r="E43" s="50"/>
      <c r="F43" s="56">
        <f>+F37-F38</f>
        <v>330880304</v>
      </c>
      <c r="G43" s="50"/>
      <c r="H43" s="184">
        <f>+(F43)-(F45*F44)</f>
        <v>184880304</v>
      </c>
      <c r="I43" s="50"/>
      <c r="J43" s="171" t="str">
        <f>IF(H43&gt;=0,"CUMPLE","NO CUMPLE")</f>
        <v>CUMPLE</v>
      </c>
      <c r="BD43" s="59" t="s">
        <v>37</v>
      </c>
      <c r="BE43" s="50"/>
      <c r="BF43" s="56">
        <f>+BF37-BF38</f>
        <v>330880304</v>
      </c>
      <c r="BG43" s="50"/>
      <c r="BH43" s="184">
        <f>+(BF43)-(BF45*BF44)</f>
        <v>184880304</v>
      </c>
      <c r="BI43" s="50"/>
      <c r="BJ43" s="171" t="str">
        <f>IF(BH43&gt;=0,"CUMPLE","NO CUMPLE")</f>
        <v>CUMPLE</v>
      </c>
      <c r="BL43" s="59" t="s">
        <v>37</v>
      </c>
      <c r="BM43" s="50"/>
      <c r="BN43" s="56">
        <f>+BN37-BN38</f>
        <v>672850300</v>
      </c>
      <c r="BO43" s="50"/>
      <c r="BP43" s="184">
        <f>+(BN43)-(BN45*BN44)</f>
        <v>526850300</v>
      </c>
      <c r="BQ43" s="50"/>
      <c r="BR43" s="171" t="str">
        <f>IF(BP43&gt;=0,"CUMPLE","NO CUMPLE")</f>
        <v>CUMPLE</v>
      </c>
      <c r="BU43" s="59" t="s">
        <v>37</v>
      </c>
      <c r="BV43" s="50"/>
      <c r="BW43" s="56">
        <f>+BW37-BW38</f>
        <v>909250900</v>
      </c>
      <c r="BX43" s="50"/>
      <c r="BY43" s="184">
        <f>+(BW43)-(BW45*BW44)</f>
        <v>763250900</v>
      </c>
      <c r="BZ43" s="50"/>
      <c r="CA43" s="171" t="str">
        <f>IF(BY43&gt;=0,"CUMPLE","NO CUMPLE")</f>
        <v>CUMPLE</v>
      </c>
      <c r="CC43" s="59" t="s">
        <v>37</v>
      </c>
      <c r="CD43" s="50"/>
      <c r="CE43" s="56">
        <f>+CE37-CE38</f>
        <v>9129087530</v>
      </c>
      <c r="CF43" s="50"/>
      <c r="CG43" s="184">
        <f>+(CE43)-(CE45*CE44)</f>
        <v>8983087530</v>
      </c>
      <c r="CH43" s="50"/>
      <c r="CI43" s="171" t="str">
        <f>IF(CG43&gt;=0,"CUMPLE","NO CUMPLE")</f>
        <v>CUMPLE</v>
      </c>
    </row>
    <row r="44" spans="1:87" ht="12.75">
      <c r="A44" s="206"/>
      <c r="B44" s="197"/>
      <c r="C44" s="200"/>
      <c r="D44" s="85" t="str">
        <f>+$B$17</f>
        <v>Presupuesto Oficial</v>
      </c>
      <c r="E44" s="50"/>
      <c r="F44" s="86">
        <f>IF($B17="Presupuesto",$C$17,J3)</f>
        <v>365000000</v>
      </c>
      <c r="G44" s="50"/>
      <c r="H44" s="185"/>
      <c r="I44" s="50"/>
      <c r="J44" s="181"/>
      <c r="BD44" s="85" t="str">
        <f>+$B$17</f>
        <v>Presupuesto Oficial</v>
      </c>
      <c r="BE44" s="50"/>
      <c r="BF44" s="86">
        <f>IF($B17="Presupuesto",$C$17,BJ3)</f>
        <v>365000000</v>
      </c>
      <c r="BG44" s="50"/>
      <c r="BH44" s="185"/>
      <c r="BI44" s="50"/>
      <c r="BJ44" s="181"/>
      <c r="BL44" s="85" t="str">
        <f>+$B$17</f>
        <v>Presupuesto Oficial</v>
      </c>
      <c r="BM44" s="50"/>
      <c r="BN44" s="86">
        <f>IF($B17="Presupuesto",$C$17,BR3)</f>
        <v>365000000</v>
      </c>
      <c r="BO44" s="50"/>
      <c r="BP44" s="185"/>
      <c r="BQ44" s="50"/>
      <c r="BR44" s="181"/>
      <c r="BU44" s="85" t="str">
        <f>+$B$17</f>
        <v>Presupuesto Oficial</v>
      </c>
      <c r="BV44" s="50"/>
      <c r="BW44" s="86">
        <f>IF($B17="Presupuesto",$C$17,CA3)</f>
        <v>365000000</v>
      </c>
      <c r="BX44" s="50"/>
      <c r="BY44" s="185"/>
      <c r="BZ44" s="50"/>
      <c r="CA44" s="181"/>
      <c r="CC44" s="85" t="str">
        <f>+$B$17</f>
        <v>Presupuesto Oficial</v>
      </c>
      <c r="CD44" s="50"/>
      <c r="CE44" s="86">
        <f>IF($B17="Presupuesto",$C$17,CI3)</f>
        <v>365000000</v>
      </c>
      <c r="CF44" s="50"/>
      <c r="CG44" s="185"/>
      <c r="CH44" s="50"/>
      <c r="CI44" s="181"/>
    </row>
    <row r="45" spans="1:87" ht="13.5" thickBot="1">
      <c r="A45" s="206"/>
      <c r="B45" s="198"/>
      <c r="C45" s="200"/>
      <c r="D45" s="99" t="s">
        <v>41</v>
      </c>
      <c r="E45" s="50"/>
      <c r="F45" s="100">
        <f>+$A$43</f>
        <v>0.4</v>
      </c>
      <c r="G45" s="50"/>
      <c r="H45" s="186"/>
      <c r="I45" s="50"/>
      <c r="J45" s="172"/>
      <c r="BD45" s="99" t="s">
        <v>41</v>
      </c>
      <c r="BE45" s="50"/>
      <c r="BF45" s="100">
        <f>+$A$43</f>
        <v>0.4</v>
      </c>
      <c r="BG45" s="50"/>
      <c r="BH45" s="186"/>
      <c r="BI45" s="50"/>
      <c r="BJ45" s="172"/>
      <c r="BL45" s="99" t="s">
        <v>41</v>
      </c>
      <c r="BM45" s="50"/>
      <c r="BN45" s="100">
        <f>+$A$43</f>
        <v>0.4</v>
      </c>
      <c r="BO45" s="50"/>
      <c r="BP45" s="186"/>
      <c r="BQ45" s="50"/>
      <c r="BR45" s="172"/>
      <c r="BU45" s="99" t="s">
        <v>41</v>
      </c>
      <c r="BV45" s="50"/>
      <c r="BW45" s="100">
        <f>+$A$43</f>
        <v>0.4</v>
      </c>
      <c r="BX45" s="50"/>
      <c r="BY45" s="186"/>
      <c r="BZ45" s="50"/>
      <c r="CA45" s="172"/>
      <c r="CC45" s="99" t="s">
        <v>41</v>
      </c>
      <c r="CD45" s="50"/>
      <c r="CE45" s="100">
        <f>+$A$43</f>
        <v>0.4</v>
      </c>
      <c r="CF45" s="50"/>
      <c r="CG45" s="186"/>
      <c r="CH45" s="50"/>
      <c r="CI45" s="172"/>
    </row>
    <row r="46" spans="1:87" ht="12.75">
      <c r="A46" s="69"/>
      <c r="B46" s="81"/>
      <c r="C46" s="108"/>
      <c r="D46" s="78"/>
      <c r="E46" s="50"/>
      <c r="F46" s="64"/>
      <c r="G46" s="50"/>
      <c r="H46" s="63"/>
      <c r="I46" s="50"/>
      <c r="J46" s="82"/>
      <c r="BD46" s="78"/>
      <c r="BE46" s="50"/>
      <c r="BF46" s="64"/>
      <c r="BG46" s="50"/>
      <c r="BH46" s="63"/>
      <c r="BI46" s="50"/>
      <c r="BJ46" s="82"/>
      <c r="BL46" s="78"/>
      <c r="BM46" s="50"/>
      <c r="BN46" s="64"/>
      <c r="BO46" s="50"/>
      <c r="BP46" s="63"/>
      <c r="BQ46" s="50"/>
      <c r="BR46" s="82"/>
      <c r="BU46" s="78"/>
      <c r="BV46" s="50"/>
      <c r="BW46" s="64"/>
      <c r="BX46" s="50"/>
      <c r="BY46" s="63"/>
      <c r="BZ46" s="50"/>
      <c r="CA46" s="82"/>
      <c r="CC46" s="78"/>
      <c r="CD46" s="50"/>
      <c r="CE46" s="64"/>
      <c r="CF46" s="50"/>
      <c r="CG46" s="63"/>
      <c r="CH46" s="50"/>
      <c r="CI46" s="82"/>
    </row>
    <row r="47" spans="1:87" ht="13.5" thickBot="1">
      <c r="A47" s="69"/>
      <c r="B47" s="78"/>
      <c r="C47" s="79"/>
      <c r="D47" s="78"/>
      <c r="E47" s="50"/>
      <c r="F47" s="50"/>
      <c r="G47" s="50"/>
      <c r="H47" s="50"/>
      <c r="I47" s="50"/>
      <c r="J47" s="79"/>
      <c r="BD47" s="78"/>
      <c r="BE47" s="50"/>
      <c r="BF47" s="50"/>
      <c r="BG47" s="50"/>
      <c r="BH47" s="50"/>
      <c r="BI47" s="50"/>
      <c r="BJ47" s="79"/>
      <c r="BL47" s="78"/>
      <c r="BM47" s="50"/>
      <c r="BN47" s="50"/>
      <c r="BO47" s="50"/>
      <c r="BP47" s="50"/>
      <c r="BQ47" s="50"/>
      <c r="BR47" s="79"/>
      <c r="BU47" s="78"/>
      <c r="BV47" s="50"/>
      <c r="BW47" s="50"/>
      <c r="BX47" s="50"/>
      <c r="BY47" s="50"/>
      <c r="BZ47" s="50"/>
      <c r="CA47" s="79"/>
      <c r="CC47" s="78"/>
      <c r="CD47" s="50"/>
      <c r="CE47" s="50"/>
      <c r="CF47" s="50"/>
      <c r="CG47" s="50"/>
      <c r="CH47" s="50"/>
      <c r="CI47" s="79"/>
    </row>
    <row r="48" spans="1:87" ht="15" customHeight="1">
      <c r="A48" s="195">
        <v>0.77</v>
      </c>
      <c r="B48" s="196" t="s">
        <v>36</v>
      </c>
      <c r="C48" s="199" t="str">
        <f>CONCATENATE("(",A48,C316,D316,F316)</f>
        <v>(0,77XPresupuesto Oficial)  = &lt; RP</v>
      </c>
      <c r="D48" s="51" t="s">
        <v>41</v>
      </c>
      <c r="E48" s="50"/>
      <c r="F48" s="158">
        <f>+$A48</f>
        <v>0.77</v>
      </c>
      <c r="G48" s="50"/>
      <c r="H48" s="190">
        <f>F52-(F50*F48)</f>
        <v>103637735</v>
      </c>
      <c r="I48" s="50"/>
      <c r="J48" s="171" t="str">
        <f>IF(H48&gt;=0,"CUMPLE","NO CUMPLE")</f>
        <v>CUMPLE</v>
      </c>
      <c r="BD48" s="51" t="s">
        <v>41</v>
      </c>
      <c r="BE48" s="50"/>
      <c r="BF48" s="158">
        <f>+$A48</f>
        <v>0.77</v>
      </c>
      <c r="BG48" s="50"/>
      <c r="BH48" s="190">
        <f>BF52-(BF50*BF48)</f>
        <v>103637735</v>
      </c>
      <c r="BI48" s="50"/>
      <c r="BJ48" s="171" t="str">
        <f>IF(BH48&gt;=0,"CUMPLE","NO CUMPLE")</f>
        <v>CUMPLE</v>
      </c>
      <c r="BL48" s="51" t="s">
        <v>41</v>
      </c>
      <c r="BM48" s="50"/>
      <c r="BN48" s="158">
        <f>+$A48</f>
        <v>0.77</v>
      </c>
      <c r="BO48" s="50"/>
      <c r="BP48" s="190">
        <f>BN52-(BN50*BN48)</f>
        <v>865456616</v>
      </c>
      <c r="BQ48" s="50"/>
      <c r="BR48" s="171" t="str">
        <f>IF(BP48&gt;=0,"CUMPLE","NO CUMPLE")</f>
        <v>CUMPLE</v>
      </c>
      <c r="BU48" s="51" t="s">
        <v>41</v>
      </c>
      <c r="BV48" s="50"/>
      <c r="BW48" s="158">
        <f>+$A48</f>
        <v>0.77</v>
      </c>
      <c r="BX48" s="50"/>
      <c r="BY48" s="190">
        <f>BW52-(BW50*BW48)</f>
        <v>385559100</v>
      </c>
      <c r="BZ48" s="50"/>
      <c r="CA48" s="171" t="str">
        <f>IF(BY48&gt;=0,"CUMPLE","NO CUMPLE")</f>
        <v>CUMPLE</v>
      </c>
      <c r="CC48" s="51" t="s">
        <v>41</v>
      </c>
      <c r="CD48" s="50"/>
      <c r="CE48" s="158">
        <f>+$A48</f>
        <v>0.77</v>
      </c>
      <c r="CF48" s="50"/>
      <c r="CG48" s="215">
        <f>CE52-(CE50*CE48)</f>
        <v>7700191832</v>
      </c>
      <c r="CH48" s="50"/>
      <c r="CI48" s="171" t="str">
        <f>IF(CG48&gt;=0,"CUMPLE","NO CUMPLE")</f>
        <v>CUMPLE</v>
      </c>
    </row>
    <row r="49" spans="1:87" ht="15" customHeight="1">
      <c r="A49" s="195"/>
      <c r="B49" s="197"/>
      <c r="C49" s="199"/>
      <c r="D49" s="60" t="s">
        <v>38</v>
      </c>
      <c r="E49" s="50"/>
      <c r="F49" s="55">
        <f>+F6</f>
        <v>1</v>
      </c>
      <c r="G49" s="50"/>
      <c r="H49" s="190"/>
      <c r="I49" s="50"/>
      <c r="J49" s="181"/>
      <c r="BD49" s="60" t="s">
        <v>38</v>
      </c>
      <c r="BE49" s="50"/>
      <c r="BF49" s="55">
        <f>+BF6</f>
        <v>1</v>
      </c>
      <c r="BG49" s="50"/>
      <c r="BH49" s="190"/>
      <c r="BI49" s="50"/>
      <c r="BJ49" s="181"/>
      <c r="BL49" s="60" t="s">
        <v>38</v>
      </c>
      <c r="BM49" s="50"/>
      <c r="BN49" s="55">
        <f>+BN6</f>
        <v>1</v>
      </c>
      <c r="BO49" s="50"/>
      <c r="BP49" s="190"/>
      <c r="BQ49" s="50"/>
      <c r="BR49" s="181"/>
      <c r="BU49" s="60" t="s">
        <v>38</v>
      </c>
      <c r="BV49" s="50"/>
      <c r="BW49" s="55">
        <f>+BW6</f>
        <v>0.49</v>
      </c>
      <c r="BX49" s="50"/>
      <c r="BY49" s="190"/>
      <c r="BZ49" s="50"/>
      <c r="CA49" s="181"/>
      <c r="CC49" s="60" t="s">
        <v>38</v>
      </c>
      <c r="CD49" s="50"/>
      <c r="CE49" s="55">
        <f>+CE6</f>
        <v>0.51</v>
      </c>
      <c r="CF49" s="50"/>
      <c r="CG49" s="215"/>
      <c r="CH49" s="50"/>
      <c r="CI49" s="181"/>
    </row>
    <row r="50" spans="1:87" ht="15" customHeight="1">
      <c r="A50" s="195"/>
      <c r="B50" s="197"/>
      <c r="C50" s="199"/>
      <c r="D50" s="88" t="str">
        <f>+D44</f>
        <v>Presupuesto Oficial</v>
      </c>
      <c r="E50" s="50"/>
      <c r="F50" s="87">
        <f>+F44</f>
        <v>365000000</v>
      </c>
      <c r="G50" s="50"/>
      <c r="H50" s="190"/>
      <c r="I50" s="50"/>
      <c r="J50" s="181"/>
      <c r="BD50" s="88" t="str">
        <f>+BD44</f>
        <v>Presupuesto Oficial</v>
      </c>
      <c r="BE50" s="50"/>
      <c r="BF50" s="87">
        <f>+BF44</f>
        <v>365000000</v>
      </c>
      <c r="BG50" s="50"/>
      <c r="BH50" s="190"/>
      <c r="BI50" s="50"/>
      <c r="BJ50" s="181"/>
      <c r="BL50" s="88" t="str">
        <f>+BL44</f>
        <v>Presupuesto Oficial</v>
      </c>
      <c r="BM50" s="50"/>
      <c r="BN50" s="87">
        <f>+BN44</f>
        <v>365000000</v>
      </c>
      <c r="BO50" s="50"/>
      <c r="BP50" s="190"/>
      <c r="BQ50" s="50"/>
      <c r="BR50" s="181"/>
      <c r="BU50" s="88" t="str">
        <f>+BU44</f>
        <v>Presupuesto Oficial</v>
      </c>
      <c r="BV50" s="50"/>
      <c r="BW50" s="87">
        <f>+BW44</f>
        <v>365000000</v>
      </c>
      <c r="BX50" s="50"/>
      <c r="BY50" s="190"/>
      <c r="BZ50" s="50"/>
      <c r="CA50" s="181"/>
      <c r="CC50" s="88" t="str">
        <f>+CC44</f>
        <v>Presupuesto Oficial</v>
      </c>
      <c r="CD50" s="50"/>
      <c r="CE50" s="87">
        <f>+CE44</f>
        <v>365000000</v>
      </c>
      <c r="CF50" s="50"/>
      <c r="CG50" s="215"/>
      <c r="CH50" s="50"/>
      <c r="CI50" s="181"/>
    </row>
    <row r="51" spans="1:87" ht="12.75">
      <c r="A51" s="195"/>
      <c r="B51" s="197"/>
      <c r="C51" s="199"/>
      <c r="D51" s="103" t="str">
        <f>CONCATENATE("Participación en ",D50)</f>
        <v>Participación en Presupuesto Oficial</v>
      </c>
      <c r="E51" s="50"/>
      <c r="F51" s="66">
        <f>+F49*F50</f>
        <v>365000000</v>
      </c>
      <c r="G51" s="50"/>
      <c r="H51" s="190"/>
      <c r="I51" s="50"/>
      <c r="J51" s="181"/>
      <c r="BD51" s="103" t="str">
        <f>CONCATENATE("Participación en ",BD50)</f>
        <v>Participación en Presupuesto Oficial</v>
      </c>
      <c r="BE51" s="50"/>
      <c r="BF51" s="66">
        <f>+BF49*BF50</f>
        <v>365000000</v>
      </c>
      <c r="BG51" s="50"/>
      <c r="BH51" s="190"/>
      <c r="BI51" s="50"/>
      <c r="BJ51" s="181"/>
      <c r="BL51" s="103" t="str">
        <f>CONCATENATE("Participación en ",BL50)</f>
        <v>Participación en Presupuesto Oficial</v>
      </c>
      <c r="BM51" s="50"/>
      <c r="BN51" s="66">
        <f>+BN49*BN50</f>
        <v>365000000</v>
      </c>
      <c r="BO51" s="50"/>
      <c r="BP51" s="190"/>
      <c r="BQ51" s="50"/>
      <c r="BR51" s="181"/>
      <c r="BU51" s="60" t="str">
        <f>CONCATENATE("Participación en ",BU50)</f>
        <v>Participación en Presupuesto Oficial</v>
      </c>
      <c r="BV51" s="50"/>
      <c r="BW51" s="66">
        <f>+BW49*BW50</f>
        <v>178850000</v>
      </c>
      <c r="BX51" s="50"/>
      <c r="BY51" s="190"/>
      <c r="BZ51" s="50"/>
      <c r="CA51" s="181"/>
      <c r="CC51" s="60" t="str">
        <f>CONCATENATE("Participación en ",CC50)</f>
        <v>Participación en Presupuesto Oficial</v>
      </c>
      <c r="CD51" s="50"/>
      <c r="CE51" s="66">
        <f>+CE49*CE50</f>
        <v>186150000</v>
      </c>
      <c r="CF51" s="50"/>
      <c r="CG51" s="215"/>
      <c r="CH51" s="50"/>
      <c r="CI51" s="181"/>
    </row>
    <row r="52" spans="1:87" ht="13.5" thickBot="1">
      <c r="A52" s="195"/>
      <c r="B52" s="198"/>
      <c r="C52" s="199"/>
      <c r="D52" s="52" t="s">
        <v>42</v>
      </c>
      <c r="E52" s="50"/>
      <c r="F52" s="54">
        <f>+F17-F19</f>
        <v>384687735</v>
      </c>
      <c r="G52" s="50"/>
      <c r="H52" s="190"/>
      <c r="I52" s="50"/>
      <c r="J52" s="172"/>
      <c r="BD52" s="52" t="s">
        <v>42</v>
      </c>
      <c r="BE52" s="50"/>
      <c r="BF52" s="54">
        <f>+BF17-BF19</f>
        <v>384687735</v>
      </c>
      <c r="BG52" s="50"/>
      <c r="BH52" s="190"/>
      <c r="BI52" s="50"/>
      <c r="BJ52" s="172"/>
      <c r="BL52" s="52" t="s">
        <v>42</v>
      </c>
      <c r="BM52" s="50"/>
      <c r="BN52" s="54">
        <f>+BN17-BN19</f>
        <v>1146506616</v>
      </c>
      <c r="BO52" s="50"/>
      <c r="BP52" s="190"/>
      <c r="BQ52" s="50"/>
      <c r="BR52" s="172"/>
      <c r="BU52" s="52" t="s">
        <v>42</v>
      </c>
      <c r="BV52" s="50"/>
      <c r="BW52" s="54">
        <f>+BW17-BW19</f>
        <v>666609100</v>
      </c>
      <c r="BX52" s="50"/>
      <c r="BY52" s="190"/>
      <c r="BZ52" s="50"/>
      <c r="CA52" s="172"/>
      <c r="CC52" s="52" t="s">
        <v>42</v>
      </c>
      <c r="CD52" s="50"/>
      <c r="CE52" s="54">
        <f>+CE17-CE19</f>
        <v>7981241832</v>
      </c>
      <c r="CF52" s="50"/>
      <c r="CG52" s="215"/>
      <c r="CH52" s="50"/>
      <c r="CI52" s="172"/>
    </row>
    <row r="53" spans="1:87" ht="13.5" thickBot="1">
      <c r="A53" s="69"/>
      <c r="B53" s="83"/>
      <c r="C53" s="84"/>
      <c r="D53" s="83"/>
      <c r="E53" s="49"/>
      <c r="F53" s="49"/>
      <c r="G53" s="49"/>
      <c r="H53" s="49"/>
      <c r="I53" s="49"/>
      <c r="J53" s="84"/>
      <c r="BD53" s="83"/>
      <c r="BE53" s="49"/>
      <c r="BF53" s="49"/>
      <c r="BG53" s="49"/>
      <c r="BH53" s="49"/>
      <c r="BI53" s="49"/>
      <c r="BJ53" s="84"/>
      <c r="BL53" s="83"/>
      <c r="BM53" s="49"/>
      <c r="BN53" s="49"/>
      <c r="BO53" s="49"/>
      <c r="BP53" s="49"/>
      <c r="BQ53" s="49"/>
      <c r="BR53" s="84"/>
      <c r="BU53" s="83"/>
      <c r="BV53" s="49"/>
      <c r="BW53" s="49"/>
      <c r="BX53" s="49"/>
      <c r="BY53" s="49"/>
      <c r="BZ53" s="49"/>
      <c r="CA53" s="84"/>
      <c r="CC53" s="83"/>
      <c r="CD53" s="49"/>
      <c r="CE53" s="49"/>
      <c r="CF53" s="49"/>
      <c r="CG53" s="49"/>
      <c r="CH53" s="49"/>
      <c r="CI53" s="84"/>
    </row>
    <row r="54" ht="13.5" thickBot="1"/>
    <row r="55" spans="4:79" ht="13.5" thickBot="1">
      <c r="D55" s="77" t="s">
        <v>82</v>
      </c>
      <c r="E55" s="101"/>
      <c r="F55" s="101"/>
      <c r="G55" s="101"/>
      <c r="H55" s="101"/>
      <c r="I55" s="101"/>
      <c r="J55" s="102"/>
      <c r="BD55" s="77" t="s">
        <v>82</v>
      </c>
      <c r="BE55" s="101"/>
      <c r="BF55" s="101"/>
      <c r="BG55" s="101"/>
      <c r="BH55" s="101"/>
      <c r="BI55" s="101"/>
      <c r="BJ55" s="102"/>
      <c r="BL55" s="77" t="s">
        <v>82</v>
      </c>
      <c r="BM55" s="101"/>
      <c r="BN55" s="101"/>
      <c r="BO55" s="101"/>
      <c r="BP55" s="101"/>
      <c r="BQ55" s="101"/>
      <c r="BR55" s="102"/>
      <c r="BU55" s="175" t="s">
        <v>90</v>
      </c>
      <c r="BV55" s="176"/>
      <c r="BW55" s="176"/>
      <c r="BX55" s="176"/>
      <c r="BY55" s="176"/>
      <c r="BZ55" s="176"/>
      <c r="CA55" s="177"/>
    </row>
    <row r="56" spans="4:79" ht="13.5" thickBot="1">
      <c r="D56" s="78"/>
      <c r="E56" s="50"/>
      <c r="F56" s="50"/>
      <c r="G56" s="50"/>
      <c r="H56" s="50"/>
      <c r="I56" s="50"/>
      <c r="J56" s="79"/>
      <c r="BD56" s="78"/>
      <c r="BE56" s="50"/>
      <c r="BF56" s="50"/>
      <c r="BG56" s="50"/>
      <c r="BH56" s="50"/>
      <c r="BI56" s="50"/>
      <c r="BJ56" s="79"/>
      <c r="BL56" s="78"/>
      <c r="BM56" s="50"/>
      <c r="BN56" s="50"/>
      <c r="BO56" s="50"/>
      <c r="BP56" s="50"/>
      <c r="BQ56" s="50"/>
      <c r="BR56" s="79"/>
      <c r="BU56" s="77"/>
      <c r="BV56" s="101"/>
      <c r="BW56" s="101"/>
      <c r="BX56" s="101"/>
      <c r="BY56" s="101"/>
      <c r="BZ56" s="101"/>
      <c r="CA56" s="102"/>
    </row>
    <row r="57" spans="4:79" ht="12.75">
      <c r="D57" s="78"/>
      <c r="E57" s="50"/>
      <c r="F57" s="50"/>
      <c r="G57" s="50"/>
      <c r="H57" s="50"/>
      <c r="I57" s="50"/>
      <c r="J57" s="79"/>
      <c r="BD57" s="78"/>
      <c r="BE57" s="50"/>
      <c r="BF57" s="50"/>
      <c r="BG57" s="50"/>
      <c r="BH57" s="50"/>
      <c r="BI57" s="50"/>
      <c r="BJ57" s="79"/>
      <c r="BL57" s="78"/>
      <c r="BM57" s="50"/>
      <c r="BN57" s="50"/>
      <c r="BO57" s="50"/>
      <c r="BP57" s="50"/>
      <c r="BQ57" s="50"/>
      <c r="BR57" s="79"/>
      <c r="BU57" s="57" t="s">
        <v>25</v>
      </c>
      <c r="BV57" s="50"/>
      <c r="BW57" s="56">
        <f>+BW37+CE37</f>
        <v>20212447857</v>
      </c>
      <c r="BX57" s="50"/>
      <c r="BY57" s="173">
        <f>+BW57/BW58</f>
        <v>1.9866552450635442</v>
      </c>
      <c r="BZ57" s="50"/>
      <c r="CA57" s="171" t="str">
        <f>IF(BW57="","",IF(BY57&gt;=$A$37,"CUMPLE","NO CUMPLE"))</f>
        <v>CUMPLE</v>
      </c>
    </row>
    <row r="58" spans="4:79" ht="13.5" thickBot="1">
      <c r="D58" s="83"/>
      <c r="E58" s="49"/>
      <c r="F58" s="49"/>
      <c r="G58" s="49"/>
      <c r="H58" s="49"/>
      <c r="I58" s="49"/>
      <c r="J58" s="84"/>
      <c r="BD58" s="83"/>
      <c r="BE58" s="49"/>
      <c r="BF58" s="49"/>
      <c r="BG58" s="49"/>
      <c r="BH58" s="49"/>
      <c r="BI58" s="49"/>
      <c r="BJ58" s="84"/>
      <c r="BL58" s="83"/>
      <c r="BM58" s="49"/>
      <c r="BN58" s="49"/>
      <c r="BO58" s="49"/>
      <c r="BP58" s="49"/>
      <c r="BQ58" s="49"/>
      <c r="BR58" s="84"/>
      <c r="BU58" s="58" t="s">
        <v>26</v>
      </c>
      <c r="BV58" s="50"/>
      <c r="BW58" s="73">
        <f>+BW38+CE38</f>
        <v>10174109427</v>
      </c>
      <c r="BX58" s="50"/>
      <c r="BY58" s="174"/>
      <c r="BZ58" s="50"/>
      <c r="CA58" s="172"/>
    </row>
    <row r="59" spans="73:79" ht="13.5" thickBot="1">
      <c r="BU59" s="78"/>
      <c r="BV59" s="50"/>
      <c r="BW59" s="50"/>
      <c r="BX59" s="50"/>
      <c r="BY59" s="50"/>
      <c r="BZ59" s="50"/>
      <c r="CA59" s="80"/>
    </row>
    <row r="60" spans="73:79" ht="12.75">
      <c r="BU60" s="57" t="s">
        <v>30</v>
      </c>
      <c r="BV60" s="50"/>
      <c r="BW60" s="56">
        <f>+BW40+CE40</f>
        <v>14010637078</v>
      </c>
      <c r="BX60" s="50"/>
      <c r="BY60" s="182">
        <f>+BW60/BW61</f>
        <v>0.6183394528274175</v>
      </c>
      <c r="BZ60" s="50"/>
      <c r="CA60" s="171" t="str">
        <f>IF(BW60="","",IF(BY60&lt;=$A$40,"CUMPLE","NO CUMPLE"))</f>
        <v>CUMPLE</v>
      </c>
    </row>
    <row r="61" spans="73:79" ht="13.5" thickBot="1">
      <c r="BU61" s="58" t="s">
        <v>29</v>
      </c>
      <c r="BV61" s="50"/>
      <c r="BW61" s="73">
        <f>+BW41+CE41</f>
        <v>22658488010</v>
      </c>
      <c r="BX61" s="50"/>
      <c r="BY61" s="183"/>
      <c r="BZ61" s="50"/>
      <c r="CA61" s="172"/>
    </row>
    <row r="62" spans="73:79" ht="13.5" thickBot="1">
      <c r="BU62" s="78"/>
      <c r="BV62" s="50"/>
      <c r="BW62" s="50"/>
      <c r="BX62" s="50"/>
      <c r="BY62" s="50"/>
      <c r="BZ62" s="50"/>
      <c r="CA62" s="80"/>
    </row>
    <row r="63" spans="73:79" ht="12.75">
      <c r="BU63" s="59" t="s">
        <v>37</v>
      </c>
      <c r="BV63" s="50"/>
      <c r="BW63" s="56">
        <f>+BW43+CE43</f>
        <v>10038338430</v>
      </c>
      <c r="BX63" s="50"/>
      <c r="BY63" s="184">
        <f>+(BW63)-(BW65*BW64)</f>
        <v>9892338430</v>
      </c>
      <c r="BZ63" s="50"/>
      <c r="CA63" s="187" t="str">
        <f>IF(BY63&gt;=0,"CUMPLE","NO CUMPLE")</f>
        <v>CUMPLE</v>
      </c>
    </row>
    <row r="64" spans="73:79" ht="12.75">
      <c r="BU64" s="85" t="str">
        <f>+$B$17</f>
        <v>Presupuesto Oficial</v>
      </c>
      <c r="BV64" s="50"/>
      <c r="BW64" s="86">
        <f>+BW44</f>
        <v>365000000</v>
      </c>
      <c r="BX64" s="50"/>
      <c r="BY64" s="185"/>
      <c r="BZ64" s="50"/>
      <c r="CA64" s="188"/>
    </row>
    <row r="65" spans="73:79" ht="13.5" thickBot="1">
      <c r="BU65" s="99" t="s">
        <v>41</v>
      </c>
      <c r="BV65" s="50"/>
      <c r="BW65" s="100">
        <f>+$A$43</f>
        <v>0.4</v>
      </c>
      <c r="BX65" s="50"/>
      <c r="BY65" s="186"/>
      <c r="BZ65" s="50"/>
      <c r="CA65" s="189"/>
    </row>
    <row r="66" spans="73:79" ht="12.75">
      <c r="BU66" s="78"/>
      <c r="BV66" s="50"/>
      <c r="BW66" s="64"/>
      <c r="BX66" s="50"/>
      <c r="BY66" s="63"/>
      <c r="BZ66" s="50"/>
      <c r="CA66" s="82"/>
    </row>
    <row r="67" spans="73:79" ht="13.5" thickBot="1">
      <c r="BU67" s="78"/>
      <c r="BV67" s="50"/>
      <c r="BW67" s="50"/>
      <c r="BX67" s="50"/>
      <c r="BY67" s="50"/>
      <c r="BZ67" s="50"/>
      <c r="CA67" s="79"/>
    </row>
    <row r="68" spans="73:79" ht="12.75">
      <c r="BU68" s="51" t="s">
        <v>41</v>
      </c>
      <c r="BV68" s="50"/>
      <c r="BW68" s="65">
        <f>+BW48</f>
        <v>0.77</v>
      </c>
      <c r="BX68" s="50"/>
      <c r="BY68" s="178">
        <f>+BW68-((BW71/BW72))</f>
        <v>0.6869902114051207</v>
      </c>
      <c r="BZ68" s="50"/>
      <c r="CA68" s="171" t="str">
        <f>IF(BY68&gt;=0,"CUMPLE","NO CUMPLE")</f>
        <v>CUMPLE</v>
      </c>
    </row>
    <row r="69" spans="73:79" ht="12.75">
      <c r="BU69" s="60" t="s">
        <v>38</v>
      </c>
      <c r="BV69" s="50"/>
      <c r="BW69" s="55">
        <f>+BW49+CE6</f>
        <v>1</v>
      </c>
      <c r="BX69" s="50"/>
      <c r="BY69" s="179"/>
      <c r="BZ69" s="50"/>
      <c r="CA69" s="181"/>
    </row>
    <row r="70" spans="73:79" ht="12.75">
      <c r="BU70" s="88" t="str">
        <f>+BU64</f>
        <v>Presupuesto Oficial</v>
      </c>
      <c r="BV70" s="50"/>
      <c r="BW70" s="87">
        <f>+BW64</f>
        <v>365000000</v>
      </c>
      <c r="BX70" s="50"/>
      <c r="BY70" s="179"/>
      <c r="BZ70" s="50"/>
      <c r="CA70" s="181"/>
    </row>
    <row r="71" spans="73:79" ht="12.75">
      <c r="BU71" s="60" t="str">
        <f>CONCATENATE("Participación en ",BU70)</f>
        <v>Participación en Presupuesto Oficial</v>
      </c>
      <c r="BV71" s="50"/>
      <c r="BW71" s="66">
        <f>+BW69*BW70</f>
        <v>365000000</v>
      </c>
      <c r="BX71" s="50"/>
      <c r="BY71" s="179"/>
      <c r="BZ71" s="50"/>
      <c r="CA71" s="181"/>
    </row>
    <row r="72" spans="73:79" ht="13.5" thickBot="1">
      <c r="BU72" s="52" t="s">
        <v>42</v>
      </c>
      <c r="BV72" s="50"/>
      <c r="BW72" s="54">
        <f>+BW52*BW6+CE20*CE6</f>
        <v>4397071793.32</v>
      </c>
      <c r="BX72" s="50"/>
      <c r="BY72" s="180"/>
      <c r="BZ72" s="50"/>
      <c r="CA72" s="172"/>
    </row>
    <row r="73" spans="73:79" ht="13.5" thickBot="1">
      <c r="BU73" s="83"/>
      <c r="BV73" s="49"/>
      <c r="BW73" s="49"/>
      <c r="BX73" s="49"/>
      <c r="BY73" s="49"/>
      <c r="BZ73" s="49"/>
      <c r="CA73" s="84"/>
    </row>
    <row r="74" ht="13.5" thickBot="1"/>
    <row r="75" spans="73:87" ht="12.75">
      <c r="BU75" s="164" t="s">
        <v>82</v>
      </c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6"/>
    </row>
    <row r="76" spans="73:87" ht="12.75">
      <c r="BU76" s="162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7"/>
    </row>
    <row r="77" spans="73:87" ht="12.75">
      <c r="BU77" s="162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7"/>
    </row>
    <row r="78" spans="73:87" ht="13.5" thickBot="1">
      <c r="BU78" s="168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70"/>
    </row>
    <row r="313" ht="12.75">
      <c r="C313" s="70" t="s">
        <v>43</v>
      </c>
    </row>
    <row r="314" ht="12.75">
      <c r="C314" s="70" t="s">
        <v>44</v>
      </c>
    </row>
    <row r="315" spans="3:68" ht="12.75">
      <c r="C315" s="70" t="s">
        <v>51</v>
      </c>
      <c r="D315" t="s">
        <v>53</v>
      </c>
      <c r="F315" t="str">
        <f>+B17</f>
        <v>Presupuesto Oficial</v>
      </c>
      <c r="H315" t="s">
        <v>54</v>
      </c>
      <c r="BD315" t="s">
        <v>53</v>
      </c>
      <c r="BF315">
        <f>+J17</f>
        <v>0</v>
      </c>
      <c r="BH315" t="s">
        <v>54</v>
      </c>
      <c r="BL315" t="s">
        <v>53</v>
      </c>
      <c r="BN315">
        <f>+BJ17</f>
        <v>0</v>
      </c>
      <c r="BP315" t="s">
        <v>54</v>
      </c>
    </row>
    <row r="316" spans="3:74" ht="12.75">
      <c r="C316" s="70" t="s">
        <v>78</v>
      </c>
      <c r="D316" t="str">
        <f>+F315</f>
        <v>Presupuesto Oficial</v>
      </c>
      <c r="F316" t="s">
        <v>79</v>
      </c>
      <c r="BD316">
        <f>+BF315</f>
        <v>0</v>
      </c>
      <c r="BF316" t="s">
        <v>55</v>
      </c>
      <c r="BL316">
        <f>+BN315</f>
        <v>0</v>
      </c>
      <c r="BN316" t="s">
        <v>55</v>
      </c>
      <c r="BT316">
        <f>+BV315</f>
        <v>0</v>
      </c>
      <c r="BV316" t="s">
        <v>55</v>
      </c>
    </row>
    <row r="317" spans="3:68" ht="25.5">
      <c r="C317" s="70" t="s">
        <v>50</v>
      </c>
      <c r="D317" t="s">
        <v>56</v>
      </c>
      <c r="F317" t="str">
        <f>+F315</f>
        <v>Presupuesto Oficial</v>
      </c>
      <c r="H317" t="s">
        <v>57</v>
      </c>
      <c r="BD317" t="s">
        <v>56</v>
      </c>
      <c r="BF317">
        <f>+BF315</f>
        <v>0</v>
      </c>
      <c r="BH317" t="s">
        <v>57</v>
      </c>
      <c r="BL317" t="s">
        <v>56</v>
      </c>
      <c r="BN317">
        <f>+BN315</f>
        <v>0</v>
      </c>
      <c r="BP317" t="s">
        <v>57</v>
      </c>
    </row>
    <row r="319" ht="12.75" customHeight="1"/>
    <row r="320" ht="12.75">
      <c r="C320" s="72"/>
    </row>
    <row r="321" ht="12.75">
      <c r="C321" s="71"/>
    </row>
    <row r="322" ht="12.75">
      <c r="C322" s="62"/>
    </row>
    <row r="324" ht="12.75" customHeight="1"/>
    <row r="325" ht="12.75">
      <c r="C325" s="72"/>
    </row>
    <row r="326" ht="12.75">
      <c r="C326" s="72"/>
    </row>
    <row r="327" ht="12.75">
      <c r="C327" s="71"/>
    </row>
    <row r="330" ht="12.75" customHeight="1"/>
    <row r="331" ht="12.75">
      <c r="C331" s="71"/>
    </row>
  </sheetData>
  <sheetProtection selectLockedCells="1"/>
  <mergeCells count="85">
    <mergeCell ref="BL15:BN15"/>
    <mergeCell ref="BP15:BR15"/>
    <mergeCell ref="BL35:BR35"/>
    <mergeCell ref="BP37:BP38"/>
    <mergeCell ref="BR37:BR38"/>
    <mergeCell ref="BD35:BJ35"/>
    <mergeCell ref="BJ40:BJ41"/>
    <mergeCell ref="BH43:BH45"/>
    <mergeCell ref="BJ43:BJ45"/>
    <mergeCell ref="BH37:BH38"/>
    <mergeCell ref="BJ37:BJ38"/>
    <mergeCell ref="BH40:BH41"/>
    <mergeCell ref="A1:D1"/>
    <mergeCell ref="A2:D2"/>
    <mergeCell ref="BD5:BJ5"/>
    <mergeCell ref="BD15:BF15"/>
    <mergeCell ref="BH15:BJ15"/>
    <mergeCell ref="D15:F15"/>
    <mergeCell ref="H15:J15"/>
    <mergeCell ref="CI43:CI45"/>
    <mergeCell ref="BY48:BY52"/>
    <mergeCell ref="CA48:CA52"/>
    <mergeCell ref="CG48:CG52"/>
    <mergeCell ref="CI48:CI52"/>
    <mergeCell ref="BY43:BY45"/>
    <mergeCell ref="CA43:CA45"/>
    <mergeCell ref="CG43:CG45"/>
    <mergeCell ref="BY40:BY41"/>
    <mergeCell ref="CA40:CA41"/>
    <mergeCell ref="CG40:CG41"/>
    <mergeCell ref="CI40:CI41"/>
    <mergeCell ref="BU35:CA35"/>
    <mergeCell ref="CC35:CI35"/>
    <mergeCell ref="BY37:BY38"/>
    <mergeCell ref="CA37:CA38"/>
    <mergeCell ref="CG37:CG38"/>
    <mergeCell ref="CI37:CI38"/>
    <mergeCell ref="BU4:CI4"/>
    <mergeCell ref="BU5:CA5"/>
    <mergeCell ref="CC5:CI5"/>
    <mergeCell ref="BU15:BW15"/>
    <mergeCell ref="BY15:CA15"/>
    <mergeCell ref="CC15:CE15"/>
    <mergeCell ref="CG15:CI15"/>
    <mergeCell ref="BL5:BR5"/>
    <mergeCell ref="A37:A38"/>
    <mergeCell ref="A40:A41"/>
    <mergeCell ref="H43:H45"/>
    <mergeCell ref="D5:J5"/>
    <mergeCell ref="A43:A45"/>
    <mergeCell ref="B14:C14"/>
    <mergeCell ref="D35:J35"/>
    <mergeCell ref="H37:H38"/>
    <mergeCell ref="J37:J38"/>
    <mergeCell ref="A48:A52"/>
    <mergeCell ref="B48:B52"/>
    <mergeCell ref="C48:C52"/>
    <mergeCell ref="B40:B41"/>
    <mergeCell ref="B43:B45"/>
    <mergeCell ref="C43:C45"/>
    <mergeCell ref="BR48:BR52"/>
    <mergeCell ref="B37:B38"/>
    <mergeCell ref="BP40:BP41"/>
    <mergeCell ref="BR40:BR41"/>
    <mergeCell ref="J48:J52"/>
    <mergeCell ref="C37:C38"/>
    <mergeCell ref="C40:C41"/>
    <mergeCell ref="BR43:BR45"/>
    <mergeCell ref="BP48:BP52"/>
    <mergeCell ref="H40:H41"/>
    <mergeCell ref="J40:J41"/>
    <mergeCell ref="J43:J45"/>
    <mergeCell ref="BP43:BP45"/>
    <mergeCell ref="BH48:BH52"/>
    <mergeCell ref="BJ48:BJ52"/>
    <mergeCell ref="H48:H52"/>
    <mergeCell ref="CA57:CA58"/>
    <mergeCell ref="BY57:BY58"/>
    <mergeCell ref="BU55:CA55"/>
    <mergeCell ref="BY68:BY72"/>
    <mergeCell ref="CA68:CA72"/>
    <mergeCell ref="BY60:BY61"/>
    <mergeCell ref="CA60:CA61"/>
    <mergeCell ref="BY63:BY65"/>
    <mergeCell ref="CA63:CA65"/>
  </mergeCells>
  <printOptions/>
  <pageMargins left="0.58" right="0.29" top="0.6299212598425197" bottom="0.54" header="0" footer="0"/>
  <pageSetup horizontalDpi="600" verticalDpi="600" orientation="landscape" scale="6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6" sqref="F2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AFinanciera</dc:creator>
  <cp:keywords/>
  <dc:description/>
  <cp:lastModifiedBy>aviceadmin5</cp:lastModifiedBy>
  <cp:lastPrinted>2009-09-29T19:16:37Z</cp:lastPrinted>
  <dcterms:created xsi:type="dcterms:W3CDTF">2008-12-23T19:33:14Z</dcterms:created>
  <dcterms:modified xsi:type="dcterms:W3CDTF">2009-11-30T21:28:26Z</dcterms:modified>
  <cp:category/>
  <cp:version/>
  <cp:contentType/>
  <cp:contentStatus/>
</cp:coreProperties>
</file>