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EVALUA-1" sheetId="1" r:id="rId1"/>
  </sheets>
  <externalReferences>
    <externalReference r:id="rId4"/>
  </externalReferences>
  <definedNames>
    <definedName name="_xlnm.Print_Titles" localSheetId="0">'EVALUA-1'!$1:$2</definedName>
  </definedNames>
  <calcPr fullCalcOnLoad="1"/>
</workbook>
</file>

<file path=xl/sharedStrings.xml><?xml version="1.0" encoding="utf-8"?>
<sst xmlns="http://schemas.openxmlformats.org/spreadsheetml/2006/main" count="227" uniqueCount="66">
  <si>
    <t>CONVOCATORIA PUBLICA No.015 DE 2009</t>
  </si>
  <si>
    <t>PROPONENTE ------&gt;</t>
  </si>
  <si>
    <t>ANALYTICA S.A.</t>
  </si>
  <si>
    <t>AUTOMATIZACION AVANZADA S.A.</t>
  </si>
  <si>
    <t>ELECTROEQUIPOS COLOMBIA LTDA</t>
  </si>
  <si>
    <t>ARISMA S.A.</t>
  </si>
  <si>
    <t>GEOSYSTEM INGENIERIA LTDA</t>
  </si>
  <si>
    <t>% Participación</t>
  </si>
  <si>
    <t>ESTADOS FINANCIEROS  2008 3 FIRMAS</t>
  </si>
  <si>
    <t>34-35</t>
  </si>
  <si>
    <t>23-24</t>
  </si>
  <si>
    <t>ESTADOS FINANCIEROS  2007 3 FIRMAS</t>
  </si>
  <si>
    <t>CERTIFIC VIGENTE CONTADOR</t>
  </si>
  <si>
    <t>JOHN JAIRO LONDOÑO ORTIZ</t>
  </si>
  <si>
    <t>JOSE ALFREDO CASTRO GAONA</t>
  </si>
  <si>
    <t>HECTOR ENRIQUE MONTEALEGRE PORTILLO</t>
  </si>
  <si>
    <t>FLOR ALBA TELLEZ BEJARANO</t>
  </si>
  <si>
    <t>ERIKA PATRICIA GONZALEZ QUIROGA</t>
  </si>
  <si>
    <t>CERTIFIC VIGENTE REV FISCAL</t>
  </si>
  <si>
    <t>CLAUDIA PATRICIA CUARTAS PINEDA</t>
  </si>
  <si>
    <t>MYRIAM RANGEL AMARIS</t>
  </si>
  <si>
    <t>LUIS BERNARDO RAMOS VARGAS</t>
  </si>
  <si>
    <t>LUZ MARINA POINTUD COBOS</t>
  </si>
  <si>
    <t>MARIELINA CARO CARO</t>
  </si>
  <si>
    <t>ANTICIPO SIN RETRICCIONES - PROV. BIENES</t>
  </si>
  <si>
    <t>COMBINACION NUMERO 1 a 9</t>
  </si>
  <si>
    <t>BALANCE A DICIEMBRE 31 DE 2008</t>
  </si>
  <si>
    <t>DECLARACION RENTA 2007</t>
  </si>
  <si>
    <t>o</t>
  </si>
  <si>
    <t>ACTIVO CORRIENTE</t>
  </si>
  <si>
    <t>ACTIVO TOTAL</t>
  </si>
  <si>
    <t>PASIVO CORRIENTE</t>
  </si>
  <si>
    <t>Duracion Contrato (Meses)</t>
  </si>
  <si>
    <t>PASIVO TOTAL</t>
  </si>
  <si>
    <t>TOTAL PATRIMONIO 2008</t>
  </si>
  <si>
    <t>TOTAL PATRIM LIQUIDO</t>
  </si>
  <si>
    <t>TOTAL PATRIMONIO 2007</t>
  </si>
  <si>
    <t>CONCILIACION FOLIO</t>
  </si>
  <si>
    <t>VALORIZACIONES</t>
  </si>
  <si>
    <t>PATRIMONIO LIQUIDO AJUSTADO</t>
  </si>
  <si>
    <t>DIFERENCIA</t>
  </si>
  <si>
    <t>PORCENTAJE</t>
  </si>
  <si>
    <t>VERIFICACION  DE LA INFORMACION  FINANCIERA  VS  DECLARACION  RENTA &lt;= 0,5%</t>
  </si>
  <si>
    <t>INGRESOS CONTABLES 2007</t>
  </si>
  <si>
    <t>INGRESOS FISCALES 2007</t>
  </si>
  <si>
    <t>Valor Ofertado</t>
  </si>
  <si>
    <t>RAZON CORRIENTE</t>
  </si>
  <si>
    <t>ENDEUDAMIENTO</t>
  </si>
  <si>
    <t>SOPORTE CON CAPITAL DE TRABAJO  (SCT)</t>
  </si>
  <si>
    <t>ACTIVO CTE  -  PASIVO CTE</t>
  </si>
  <si>
    <t>Indicador</t>
  </si>
  <si>
    <t>SOPORTE CON RELACIÓN PATRIMONIAL (SRP)</t>
  </si>
  <si>
    <t>% Participacion</t>
  </si>
  <si>
    <t>Patrimonio</t>
  </si>
  <si>
    <t xml:space="preserve">Activo corriente / Pasivo corriente &gt;= </t>
  </si>
  <si>
    <t xml:space="preserve">Pasivo total / Activo total  &lt;= </t>
  </si>
  <si>
    <t xml:space="preserve"> * </t>
  </si>
  <si>
    <t>) = SCT</t>
  </si>
  <si>
    <t>X</t>
  </si>
  <si>
    <t>)  = &lt; RP</t>
  </si>
  <si>
    <t>) / Patrimonio ) = SRP</t>
  </si>
  <si>
    <t xml:space="preserve">( (Ventas netas año 1 + ventas netas año 2)  /  2 ) -  (( 12/Meses Contrato) X </t>
  </si>
  <si>
    <t xml:space="preserve">  X  % Participacion X </t>
  </si>
  <si>
    <t>)   =   S.H.I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</si>
  <si>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</si>
  <si>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r>
      <t xml:space="preserve">(Activo corriente - Pasivo corriente) - (  </t>
    </r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</si>
</sst>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[$-C0A]d\-mmm\-yy;@"/>
    <numFmt numFmtId="193" formatCode="#,##0.00;[Red]#,##0.00"/>
    <numFmt numFmtId="194" formatCode="#,##0.00\ _€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 Narrow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2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3" fontId="6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9" fontId="0" fillId="3" borderId="4" xfId="2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0" fillId="0" borderId="1" xfId="0" applyBorder="1" applyAlignment="1">
      <alignment/>
    </xf>
    <xf numFmtId="9" fontId="0" fillId="3" borderId="6" xfId="21" applyFont="1" applyFill="1" applyBorder="1" applyAlignment="1" applyProtection="1">
      <alignment/>
      <protection locked="0"/>
    </xf>
    <xf numFmtId="14" fontId="0" fillId="3" borderId="6" xfId="21" applyNumberFormat="1" applyFont="1" applyFill="1" applyBorder="1" applyAlignment="1" applyProtection="1">
      <alignment/>
      <protection locked="0"/>
    </xf>
    <xf numFmtId="9" fontId="0" fillId="3" borderId="6" xfId="21" applyFill="1" applyBorder="1" applyAlignment="1" applyProtection="1">
      <alignment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/>
    </xf>
    <xf numFmtId="0" fontId="0" fillId="0" borderId="0" xfId="0" applyBorder="1" applyAlignment="1">
      <alignment/>
    </xf>
    <xf numFmtId="9" fontId="0" fillId="0" borderId="9" xfId="21" applyFill="1" applyBorder="1" applyAlignment="1" applyProtection="1">
      <alignment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7" fillId="0" borderId="10" xfId="0" applyFont="1" applyBorder="1" applyAlignment="1">
      <alignment/>
    </xf>
    <xf numFmtId="3" fontId="0" fillId="3" borderId="11" xfId="0" applyNumberForma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2" fillId="0" borderId="7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3" fontId="6" fillId="3" borderId="12" xfId="0" applyNumberFormat="1" applyFont="1" applyFill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" fontId="0" fillId="0" borderId="18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Fill="1" applyBorder="1" applyAlignment="1">
      <alignment/>
    </xf>
    <xf numFmtId="4" fontId="0" fillId="3" borderId="11" xfId="0" applyNumberForma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/>
    </xf>
    <xf numFmtId="3" fontId="0" fillId="3" borderId="15" xfId="0" applyNumberFormat="1" applyFill="1" applyBorder="1" applyAlignment="1" applyProtection="1">
      <alignment/>
      <protection locked="0"/>
    </xf>
    <xf numFmtId="4" fontId="0" fillId="3" borderId="15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14" fillId="0" borderId="22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3" fillId="0" borderId="24" xfId="0" applyFont="1" applyBorder="1" applyAlignment="1">
      <alignment/>
    </xf>
    <xf numFmtId="3" fontId="0" fillId="5" borderId="24" xfId="0" applyNumberFormat="1" applyFill="1" applyBorder="1" applyAlignment="1">
      <alignment vertical="center"/>
    </xf>
    <xf numFmtId="0" fontId="3" fillId="0" borderId="25" xfId="0" applyFont="1" applyBorder="1" applyAlignment="1">
      <alignment/>
    </xf>
    <xf numFmtId="3" fontId="0" fillId="5" borderId="25" xfId="0" applyNumberFormat="1" applyFill="1" applyBorder="1" applyAlignment="1">
      <alignment vertical="center"/>
    </xf>
    <xf numFmtId="0" fontId="15" fillId="0" borderId="0" xfId="0" applyFont="1" applyAlignment="1">
      <alignment/>
    </xf>
    <xf numFmtId="0" fontId="6" fillId="0" borderId="9" xfId="0" applyFont="1" applyBorder="1" applyAlignment="1">
      <alignment/>
    </xf>
    <xf numFmtId="0" fontId="8" fillId="0" borderId="24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5" borderId="26" xfId="21" applyNumberFormat="1" applyFill="1" applyBorder="1" applyAlignment="1">
      <alignment/>
    </xf>
    <xf numFmtId="3" fontId="0" fillId="0" borderId="25" xfId="0" applyNumberFormat="1" applyBorder="1" applyAlignment="1">
      <alignment/>
    </xf>
    <xf numFmtId="9" fontId="0" fillId="5" borderId="25" xfId="21" applyFill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2" fontId="0" fillId="5" borderId="24" xfId="0" applyNumberFormat="1" applyFill="1" applyBorder="1" applyAlignment="1">
      <alignment/>
    </xf>
    <xf numFmtId="176" fontId="0" fillId="5" borderId="24" xfId="0" applyNumberFormat="1" applyFill="1" applyBorder="1" applyAlignment="1">
      <alignment/>
    </xf>
    <xf numFmtId="0" fontId="0" fillId="0" borderId="27" xfId="0" applyBorder="1" applyAlignment="1">
      <alignment/>
    </xf>
    <xf numFmtId="9" fontId="0" fillId="5" borderId="27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5" borderId="27" xfId="21" applyNumberFormat="1" applyFill="1" applyBorder="1" applyAlignment="1">
      <alignment/>
    </xf>
    <xf numFmtId="0" fontId="0" fillId="0" borderId="27" xfId="0" applyBorder="1" applyAlignment="1">
      <alignment vertical="center" wrapText="1"/>
    </xf>
    <xf numFmtId="3" fontId="0" fillId="5" borderId="27" xfId="0" applyNumberFormat="1" applyFill="1" applyBorder="1" applyAlignment="1">
      <alignment/>
    </xf>
    <xf numFmtId="0" fontId="0" fillId="0" borderId="25" xfId="0" applyBorder="1" applyAlignment="1">
      <alignment/>
    </xf>
    <xf numFmtId="3" fontId="0" fillId="5" borderId="25" xfId="0" applyNumberFormat="1" applyFill="1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Fill="1" applyAlignment="1">
      <alignment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2" fontId="15" fillId="6" borderId="0" xfId="0" applyNumberFormat="1" applyFont="1" applyFill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9" fontId="15" fillId="6" borderId="0" xfId="2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7" borderId="40" xfId="0" applyFont="1" applyFill="1" applyBorder="1" applyAlignment="1" applyProtection="1">
      <alignment horizontal="center"/>
      <protection locked="0"/>
    </xf>
    <xf numFmtId="0" fontId="6" fillId="7" borderId="41" xfId="0" applyFont="1" applyFill="1" applyBorder="1" applyAlignment="1" applyProtection="1">
      <alignment horizontal="center"/>
      <protection locked="0"/>
    </xf>
    <xf numFmtId="0" fontId="6" fillId="7" borderId="42" xfId="0" applyFont="1" applyFill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176" fontId="15" fillId="6" borderId="0" xfId="0" applyNumberFormat="1" applyFont="1" applyFill="1" applyAlignment="1">
      <alignment horizontal="center" vertical="center" wrapText="1"/>
    </xf>
    <xf numFmtId="9" fontId="15" fillId="6" borderId="0" xfId="0" applyNumberFormat="1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7" borderId="21" xfId="0" applyFont="1" applyFill="1" applyBorder="1" applyAlignment="1" applyProtection="1">
      <alignment horizontal="center"/>
      <protection locked="0"/>
    </xf>
    <xf numFmtId="0" fontId="6" fillId="7" borderId="23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vicerrec1\Configuraci&#243;n%20local\Archivos%20temporales%20de%20Internet\Content.IE5\3HO82JCK\CONVOCATORIA%20PUBLICA%20015%20D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INACIONES"/>
      <sheetName val="PARAMETROS"/>
      <sheetName val="EVALUA-1"/>
      <sheetName val="Hoja3"/>
    </sheetNames>
    <sheetDataSet>
      <sheetData sheetId="0">
        <row r="4">
          <cell r="B4">
            <v>1</v>
          </cell>
          <cell r="C4" t="str">
            <v>Con anticipo sin restricciones.</v>
          </cell>
          <cell r="D4" t="str">
            <v>Adecuación y Remodelación</v>
          </cell>
          <cell r="E4">
            <v>1.5</v>
          </cell>
          <cell r="F4">
            <v>0.65</v>
          </cell>
          <cell r="G4">
            <v>0.5</v>
          </cell>
          <cell r="H4">
            <v>1.4</v>
          </cell>
          <cell r="I4">
            <v>1</v>
          </cell>
        </row>
        <row r="6">
          <cell r="B6">
            <v>2</v>
          </cell>
          <cell r="C6" t="str">
            <v>Con anticipo cuenta compartida.</v>
          </cell>
          <cell r="D6" t="str">
            <v>Adecuación y Remodelación</v>
          </cell>
          <cell r="E6">
            <v>1.4</v>
          </cell>
          <cell r="F6">
            <v>0.7</v>
          </cell>
          <cell r="G6">
            <v>0.4</v>
          </cell>
          <cell r="H6">
            <v>1.3</v>
          </cell>
          <cell r="I6">
            <v>0.8</v>
          </cell>
        </row>
        <row r="8">
          <cell r="B8">
            <v>3</v>
          </cell>
          <cell r="C8" t="str">
            <v>Pago contra entrega.</v>
          </cell>
          <cell r="D8" t="str">
            <v>Adecuación y Remodelación</v>
          </cell>
          <cell r="E8">
            <v>1.3</v>
          </cell>
          <cell r="F8">
            <v>0.75</v>
          </cell>
          <cell r="G8">
            <v>0.3</v>
          </cell>
          <cell r="H8">
            <v>1.3</v>
          </cell>
          <cell r="I8">
            <v>0.6</v>
          </cell>
        </row>
        <row r="10">
          <cell r="B10">
            <v>4</v>
          </cell>
          <cell r="C10" t="str">
            <v>Con anticipo sin restricciones.</v>
          </cell>
          <cell r="D10" t="str">
            <v>Proveeduría de bienes.</v>
          </cell>
          <cell r="E10">
            <v>1.6</v>
          </cell>
          <cell r="F10">
            <v>0.6</v>
          </cell>
          <cell r="G10">
            <v>0.5</v>
          </cell>
          <cell r="H10">
            <v>1.5</v>
          </cell>
          <cell r="I10">
            <v>0.6</v>
          </cell>
        </row>
        <row r="12">
          <cell r="B12">
            <v>5</v>
          </cell>
          <cell r="C12" t="str">
            <v>Con anticipo cuenta compartida.</v>
          </cell>
          <cell r="D12" t="str">
            <v>Proveeduría de bienes.</v>
          </cell>
          <cell r="E12">
            <v>1.5</v>
          </cell>
          <cell r="F12">
            <v>0.65</v>
          </cell>
          <cell r="G12">
            <v>0.4</v>
          </cell>
          <cell r="H12">
            <v>1.4</v>
          </cell>
          <cell r="I12">
            <v>0.4</v>
          </cell>
        </row>
        <row r="14">
          <cell r="B14">
            <v>6</v>
          </cell>
          <cell r="C14" t="str">
            <v>Pago contra entrega.</v>
          </cell>
          <cell r="D14" t="str">
            <v>Proveeduría de bienes.</v>
          </cell>
          <cell r="E14">
            <v>1.4</v>
          </cell>
          <cell r="F14">
            <v>0.7</v>
          </cell>
          <cell r="G14">
            <v>0.3</v>
          </cell>
          <cell r="H14">
            <v>1.4</v>
          </cell>
          <cell r="I14">
            <v>0.2</v>
          </cell>
        </row>
        <row r="16">
          <cell r="B16">
            <v>7</v>
          </cell>
          <cell r="C16" t="str">
            <v>Con anticipo sin restricciones.</v>
          </cell>
          <cell r="D16" t="str">
            <v>Proveeduría de servicios.</v>
          </cell>
          <cell r="E16">
            <v>1.4</v>
          </cell>
          <cell r="F16">
            <v>0.7</v>
          </cell>
          <cell r="G16">
            <v>0.4</v>
          </cell>
          <cell r="H16">
            <v>1.3</v>
          </cell>
          <cell r="I16">
            <v>0.6</v>
          </cell>
        </row>
        <row r="18">
          <cell r="B18">
            <v>8</v>
          </cell>
          <cell r="C18" t="str">
            <v>Con anticipo cuenta compartida.</v>
          </cell>
          <cell r="D18" t="str">
            <v>Proveeduría de servicios.</v>
          </cell>
          <cell r="E18">
            <v>1.3</v>
          </cell>
          <cell r="F18">
            <v>0.75</v>
          </cell>
          <cell r="G18">
            <v>0.3</v>
          </cell>
          <cell r="H18">
            <v>1.2</v>
          </cell>
          <cell r="I18">
            <v>0.4</v>
          </cell>
        </row>
        <row r="20">
          <cell r="B20">
            <v>9</v>
          </cell>
          <cell r="C20" t="str">
            <v>Pago contra entrega.</v>
          </cell>
          <cell r="D20" t="str">
            <v>Proveeduría de servicios.</v>
          </cell>
          <cell r="E20">
            <v>1.2</v>
          </cell>
          <cell r="F20">
            <v>0.8</v>
          </cell>
          <cell r="G20">
            <v>0.2</v>
          </cell>
          <cell r="H20">
            <v>1.1</v>
          </cell>
          <cell r="I20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1"/>
  <sheetViews>
    <sheetView tabSelected="1" zoomScale="80" zoomScaleNormal="80" zoomScaleSheetLayoutView="100" workbookViewId="0" topLeftCell="C7">
      <selection activeCell="L35" sqref="L35:R35"/>
    </sheetView>
  </sheetViews>
  <sheetFormatPr defaultColWidth="11.421875" defaultRowHeight="12.75"/>
  <cols>
    <col min="2" max="2" width="19.7109375" style="0" customWidth="1"/>
    <col min="3" max="3" width="34.00390625" style="0" customWidth="1"/>
    <col min="4" max="4" width="40.00390625" style="0" customWidth="1"/>
    <col min="5" max="5" width="5.57421875" style="0" bestFit="1" customWidth="1"/>
    <col min="6" max="6" width="14.8515625" style="0" customWidth="1"/>
    <col min="7" max="7" width="2.00390625" style="0" customWidth="1"/>
    <col min="8" max="8" width="21.57421875" style="0" customWidth="1"/>
    <col min="9" max="9" width="3.8515625" style="0" customWidth="1"/>
    <col min="10" max="10" width="16.28125" style="0" bestFit="1" customWidth="1"/>
    <col min="11" max="11" width="3.8515625" style="0" customWidth="1"/>
    <col min="12" max="12" width="41.00390625" style="0" customWidth="1"/>
    <col min="13" max="13" width="5.57421875" style="0" bestFit="1" customWidth="1"/>
    <col min="14" max="14" width="14.8515625" style="0" customWidth="1"/>
    <col min="15" max="15" width="2.00390625" style="0" customWidth="1"/>
    <col min="16" max="16" width="16.00390625" style="0" customWidth="1"/>
    <col min="17" max="17" width="3.8515625" style="0" customWidth="1"/>
    <col min="18" max="18" width="16.28125" style="0" bestFit="1" customWidth="1"/>
    <col min="19" max="19" width="3.8515625" style="0" customWidth="1"/>
    <col min="20" max="20" width="40.8515625" style="0" customWidth="1"/>
    <col min="21" max="21" width="5.57421875" style="0" bestFit="1" customWidth="1"/>
    <col min="22" max="22" width="14.8515625" style="0" customWidth="1"/>
    <col min="23" max="23" width="2.00390625" style="0" customWidth="1"/>
    <col min="24" max="24" width="16.00390625" style="0" customWidth="1"/>
    <col min="25" max="25" width="3.8515625" style="0" customWidth="1"/>
    <col min="26" max="26" width="16.28125" style="0" bestFit="1" customWidth="1"/>
    <col min="27" max="27" width="3.8515625" style="0" customWidth="1"/>
    <col min="28" max="28" width="41.00390625" style="0" customWidth="1"/>
    <col min="29" max="29" width="5.57421875" style="0" bestFit="1" customWidth="1"/>
    <col min="30" max="30" width="14.8515625" style="0" customWidth="1"/>
    <col min="31" max="31" width="2.00390625" style="0" customWidth="1"/>
    <col min="32" max="32" width="16.00390625" style="0" customWidth="1"/>
    <col min="33" max="33" width="3.8515625" style="0" customWidth="1"/>
    <col min="34" max="34" width="16.28125" style="0" bestFit="1" customWidth="1"/>
    <col min="35" max="35" width="3.8515625" style="0" customWidth="1"/>
    <col min="36" max="36" width="41.421875" style="0" customWidth="1"/>
    <col min="37" max="37" width="5.57421875" style="0" bestFit="1" customWidth="1"/>
    <col min="38" max="38" width="17.57421875" style="0" customWidth="1"/>
    <col min="39" max="39" width="2.00390625" style="0" customWidth="1"/>
    <col min="40" max="40" width="16.00390625" style="0" customWidth="1"/>
    <col min="41" max="41" width="3.8515625" style="0" customWidth="1"/>
    <col min="42" max="42" width="16.28125" style="0" bestFit="1" customWidth="1"/>
    <col min="43" max="43" width="3.8515625" style="0" customWidth="1"/>
  </cols>
  <sheetData>
    <row r="1" spans="1:4" ht="18">
      <c r="A1" s="118" t="s">
        <v>0</v>
      </c>
      <c r="B1" s="118"/>
      <c r="C1" s="118"/>
      <c r="D1" s="118"/>
    </row>
    <row r="2" spans="1:4" ht="60.75" customHeight="1">
      <c r="A2" s="119"/>
      <c r="B2" s="119"/>
      <c r="C2" s="119"/>
      <c r="D2" s="119"/>
    </row>
    <row r="3" spans="1:42" ht="12.75">
      <c r="A3" s="1"/>
      <c r="H3" s="2" t="str">
        <f>+$B$17</f>
        <v>Oferta</v>
      </c>
      <c r="J3" s="3">
        <f>IF($B$17="Presupuesto Oficial",$C$17,F31)</f>
        <v>138000000</v>
      </c>
      <c r="P3" s="2" t="str">
        <f>+$B$17</f>
        <v>Oferta</v>
      </c>
      <c r="R3" s="3">
        <f>IF($B$17="Presupuesto Oficial",$C$17,N31)</f>
        <v>57357093</v>
      </c>
      <c r="X3" s="2" t="str">
        <f>+$B$17</f>
        <v>Oferta</v>
      </c>
      <c r="Z3" s="3">
        <f>IF($B$17="Presupuesto Oficial",$C$17,V31)</f>
        <v>485369320</v>
      </c>
      <c r="AF3" s="2" t="str">
        <f>+$B$17</f>
        <v>Oferta</v>
      </c>
      <c r="AH3" s="3">
        <f>IF($B$17="Presupuesto Oficial",$C$17,AD31)</f>
        <v>75793124</v>
      </c>
      <c r="AN3" s="2" t="str">
        <f>+$B$17</f>
        <v>Oferta</v>
      </c>
      <c r="AP3" s="3">
        <f>IF($B$17="Presupuesto Oficial",$C$17,AL31)</f>
        <v>155127960</v>
      </c>
    </row>
    <row r="4" spans="4:38" ht="13.5" thickBot="1">
      <c r="D4" s="4" t="s">
        <v>1</v>
      </c>
      <c r="F4" s="5"/>
      <c r="L4" s="4" t="s">
        <v>1</v>
      </c>
      <c r="N4" s="5"/>
      <c r="T4" s="4" t="s">
        <v>1</v>
      </c>
      <c r="V4" s="5"/>
      <c r="AB4" s="4" t="s">
        <v>1</v>
      </c>
      <c r="AD4" s="5"/>
      <c r="AJ4" s="4" t="s">
        <v>1</v>
      </c>
      <c r="AL4" s="5"/>
    </row>
    <row r="5" spans="4:42" ht="23.25" customHeight="1" thickBot="1">
      <c r="D5" s="120" t="s">
        <v>2</v>
      </c>
      <c r="E5" s="121"/>
      <c r="F5" s="121"/>
      <c r="G5" s="108"/>
      <c r="H5" s="108"/>
      <c r="I5" s="108"/>
      <c r="J5" s="109"/>
      <c r="L5" s="120" t="s">
        <v>3</v>
      </c>
      <c r="M5" s="121"/>
      <c r="N5" s="121"/>
      <c r="O5" s="108"/>
      <c r="P5" s="108"/>
      <c r="Q5" s="108"/>
      <c r="R5" s="109"/>
      <c r="T5" s="120" t="s">
        <v>4</v>
      </c>
      <c r="U5" s="121"/>
      <c r="V5" s="121"/>
      <c r="W5" s="108"/>
      <c r="X5" s="108"/>
      <c r="Y5" s="108"/>
      <c r="Z5" s="109"/>
      <c r="AB5" s="120" t="s">
        <v>5</v>
      </c>
      <c r="AC5" s="121"/>
      <c r="AD5" s="121"/>
      <c r="AE5" s="108"/>
      <c r="AF5" s="108"/>
      <c r="AG5" s="108"/>
      <c r="AH5" s="109"/>
      <c r="AJ5" s="120" t="s">
        <v>6</v>
      </c>
      <c r="AK5" s="121"/>
      <c r="AL5" s="121"/>
      <c r="AM5" s="108"/>
      <c r="AN5" s="108"/>
      <c r="AO5" s="108"/>
      <c r="AP5" s="109"/>
    </row>
    <row r="6" spans="4:38" ht="12.75">
      <c r="D6" s="6" t="s">
        <v>7</v>
      </c>
      <c r="E6" s="7"/>
      <c r="F6" s="8">
        <v>1</v>
      </c>
      <c r="L6" s="6" t="s">
        <v>7</v>
      </c>
      <c r="M6" s="7"/>
      <c r="N6" s="8">
        <v>1</v>
      </c>
      <c r="T6" s="6" t="s">
        <v>7</v>
      </c>
      <c r="U6" s="7"/>
      <c r="V6" s="8">
        <v>1</v>
      </c>
      <c r="AB6" s="6" t="s">
        <v>7</v>
      </c>
      <c r="AC6" s="7"/>
      <c r="AD6" s="8">
        <v>1</v>
      </c>
      <c r="AJ6" s="6" t="s">
        <v>7</v>
      </c>
      <c r="AK6" s="7"/>
      <c r="AL6" s="8">
        <v>1</v>
      </c>
    </row>
    <row r="7" spans="1:38" ht="12.75">
      <c r="A7" s="9"/>
      <c r="B7" s="10"/>
      <c r="C7" s="10"/>
      <c r="D7" s="11" t="s">
        <v>8</v>
      </c>
      <c r="E7" s="12" t="s">
        <v>9</v>
      </c>
      <c r="F7" s="13"/>
      <c r="L7" s="11" t="s">
        <v>8</v>
      </c>
      <c r="M7" s="12">
        <v>22</v>
      </c>
      <c r="N7" s="13"/>
      <c r="T7" s="11" t="s">
        <v>8</v>
      </c>
      <c r="U7" s="12">
        <v>37</v>
      </c>
      <c r="V7" s="13"/>
      <c r="AB7" s="11" t="s">
        <v>8</v>
      </c>
      <c r="AC7" s="12" t="s">
        <v>10</v>
      </c>
      <c r="AD7" s="13"/>
      <c r="AJ7" s="11" t="s">
        <v>8</v>
      </c>
      <c r="AK7" s="12">
        <v>19</v>
      </c>
      <c r="AL7" s="13"/>
    </row>
    <row r="8" spans="1:38" ht="12.75">
      <c r="A8" s="9"/>
      <c r="B8" s="10"/>
      <c r="C8" s="10"/>
      <c r="D8" s="11" t="s">
        <v>11</v>
      </c>
      <c r="E8" s="12"/>
      <c r="F8" s="13"/>
      <c r="L8" s="11" t="s">
        <v>11</v>
      </c>
      <c r="M8" s="12"/>
      <c r="N8" s="13"/>
      <c r="T8" s="11" t="s">
        <v>11</v>
      </c>
      <c r="U8" s="12"/>
      <c r="V8" s="13"/>
      <c r="AB8" s="11" t="s">
        <v>11</v>
      </c>
      <c r="AC8" s="12"/>
      <c r="AD8" s="13"/>
      <c r="AJ8" s="11" t="s">
        <v>11</v>
      </c>
      <c r="AK8" s="12"/>
      <c r="AL8" s="13"/>
    </row>
    <row r="9" spans="1:38" ht="12.75">
      <c r="A9" s="9"/>
      <c r="B9" s="10"/>
      <c r="C9" s="10"/>
      <c r="D9" s="11" t="s">
        <v>12</v>
      </c>
      <c r="E9" s="12"/>
      <c r="F9" s="14">
        <v>40072</v>
      </c>
      <c r="L9" s="11" t="s">
        <v>12</v>
      </c>
      <c r="M9" s="12"/>
      <c r="N9" s="14">
        <v>40067</v>
      </c>
      <c r="T9" s="11" t="s">
        <v>12</v>
      </c>
      <c r="U9" s="12"/>
      <c r="V9" s="14">
        <v>40087</v>
      </c>
      <c r="AB9" s="11" t="s">
        <v>12</v>
      </c>
      <c r="AC9" s="12"/>
      <c r="AD9" s="14">
        <v>40044</v>
      </c>
      <c r="AJ9" s="11" t="s">
        <v>12</v>
      </c>
      <c r="AK9" s="12"/>
      <c r="AL9" s="14">
        <v>40044</v>
      </c>
    </row>
    <row r="10" spans="1:38" ht="12.75">
      <c r="A10" s="9"/>
      <c r="B10" s="10"/>
      <c r="C10" s="10"/>
      <c r="D10" s="11" t="s">
        <v>13</v>
      </c>
      <c r="E10" s="12">
        <v>49</v>
      </c>
      <c r="F10" s="14"/>
      <c r="L10" s="11" t="s">
        <v>14</v>
      </c>
      <c r="M10" s="12">
        <v>45</v>
      </c>
      <c r="N10" s="14"/>
      <c r="T10" s="11" t="s">
        <v>15</v>
      </c>
      <c r="U10" s="12">
        <v>54</v>
      </c>
      <c r="V10" s="14"/>
      <c r="AB10" s="11" t="s">
        <v>16</v>
      </c>
      <c r="AC10" s="12">
        <v>38</v>
      </c>
      <c r="AD10" s="14"/>
      <c r="AJ10" s="11" t="s">
        <v>17</v>
      </c>
      <c r="AK10" s="12">
        <v>35</v>
      </c>
      <c r="AL10" s="14"/>
    </row>
    <row r="11" spans="1:38" ht="12.75">
      <c r="A11" s="9"/>
      <c r="B11" s="10"/>
      <c r="C11" s="10"/>
      <c r="D11" s="11" t="s">
        <v>18</v>
      </c>
      <c r="E11" s="12"/>
      <c r="F11" s="14">
        <v>40072</v>
      </c>
      <c r="L11" s="11" t="s">
        <v>18</v>
      </c>
      <c r="M11" s="12"/>
      <c r="N11" s="14">
        <v>40067</v>
      </c>
      <c r="T11" s="11" t="s">
        <v>18</v>
      </c>
      <c r="U11" s="12"/>
      <c r="V11" s="14">
        <v>40088</v>
      </c>
      <c r="AB11" s="11" t="s">
        <v>18</v>
      </c>
      <c r="AC11" s="12"/>
      <c r="AD11" s="14">
        <v>40044</v>
      </c>
      <c r="AJ11" s="11" t="s">
        <v>18</v>
      </c>
      <c r="AK11" s="12"/>
      <c r="AL11" s="14">
        <v>40044</v>
      </c>
    </row>
    <row r="12" spans="1:38" ht="12.75">
      <c r="A12" s="9"/>
      <c r="B12" s="10"/>
      <c r="C12" s="10"/>
      <c r="D12" s="11" t="s">
        <v>19</v>
      </c>
      <c r="E12" s="12">
        <v>51</v>
      </c>
      <c r="F12" s="15"/>
      <c r="L12" s="11" t="s">
        <v>20</v>
      </c>
      <c r="M12" s="12">
        <v>44</v>
      </c>
      <c r="N12" s="15"/>
      <c r="T12" s="11" t="s">
        <v>21</v>
      </c>
      <c r="U12" s="12">
        <v>56</v>
      </c>
      <c r="V12" s="15"/>
      <c r="AB12" s="11" t="s">
        <v>22</v>
      </c>
      <c r="AC12" s="12">
        <v>39</v>
      </c>
      <c r="AD12" s="15"/>
      <c r="AJ12" s="11" t="s">
        <v>23</v>
      </c>
      <c r="AK12" s="12">
        <v>38</v>
      </c>
      <c r="AL12" s="15"/>
    </row>
    <row r="13" spans="1:38" ht="13.5" thickBot="1">
      <c r="A13" s="9"/>
      <c r="B13" s="10"/>
      <c r="C13" s="10"/>
      <c r="D13" s="11"/>
      <c r="E13" s="12"/>
      <c r="F13" s="15"/>
      <c r="L13" s="11"/>
      <c r="M13" s="12"/>
      <c r="N13" s="15"/>
      <c r="T13" s="11"/>
      <c r="U13" s="12"/>
      <c r="V13" s="15"/>
      <c r="AB13" s="11"/>
      <c r="AC13" s="12"/>
      <c r="AD13" s="15"/>
      <c r="AJ13" s="11"/>
      <c r="AK13" s="12"/>
      <c r="AL13" s="15"/>
    </row>
    <row r="14" spans="1:38" ht="13.5" thickBot="1">
      <c r="A14" s="16">
        <v>6</v>
      </c>
      <c r="B14" s="105" t="s">
        <v>24</v>
      </c>
      <c r="C14" s="106"/>
      <c r="D14" s="17"/>
      <c r="E14" s="18"/>
      <c r="F14" s="19"/>
      <c r="L14" s="17"/>
      <c r="M14" s="18"/>
      <c r="N14" s="19"/>
      <c r="T14" s="17"/>
      <c r="U14" s="18"/>
      <c r="V14" s="19"/>
      <c r="AB14" s="17"/>
      <c r="AC14" s="18"/>
      <c r="AD14" s="19"/>
      <c r="AJ14" s="17"/>
      <c r="AK14" s="18"/>
      <c r="AL14" s="19"/>
    </row>
    <row r="15" spans="1:42" ht="18.75" thickBot="1">
      <c r="A15" s="20" t="s">
        <v>25</v>
      </c>
      <c r="B15" s="21"/>
      <c r="C15" s="18"/>
      <c r="D15" s="122" t="s">
        <v>26</v>
      </c>
      <c r="E15" s="123"/>
      <c r="F15" s="124"/>
      <c r="H15" s="125" t="s">
        <v>27</v>
      </c>
      <c r="I15" s="125"/>
      <c r="J15" s="125"/>
      <c r="L15" s="122" t="s">
        <v>26</v>
      </c>
      <c r="M15" s="123"/>
      <c r="N15" s="124"/>
      <c r="P15" s="125" t="s">
        <v>27</v>
      </c>
      <c r="Q15" s="125"/>
      <c r="R15" s="125"/>
      <c r="T15" s="122" t="s">
        <v>26</v>
      </c>
      <c r="U15" s="123"/>
      <c r="V15" s="124"/>
      <c r="X15" s="125" t="s">
        <v>27</v>
      </c>
      <c r="Y15" s="125"/>
      <c r="Z15" s="125"/>
      <c r="AB15" s="122" t="s">
        <v>26</v>
      </c>
      <c r="AC15" s="123"/>
      <c r="AD15" s="124"/>
      <c r="AF15" s="125" t="s">
        <v>27</v>
      </c>
      <c r="AG15" s="125"/>
      <c r="AH15" s="125"/>
      <c r="AJ15" s="122" t="s">
        <v>26</v>
      </c>
      <c r="AK15" s="123"/>
      <c r="AL15" s="124"/>
      <c r="AN15" s="125" t="s">
        <v>27</v>
      </c>
      <c r="AO15" s="125"/>
      <c r="AP15" s="125"/>
    </row>
    <row r="16" spans="1:42" ht="13.5" thickBot="1">
      <c r="A16" s="16" t="s">
        <v>28</v>
      </c>
      <c r="B16" s="21"/>
      <c r="C16" s="18"/>
      <c r="D16" s="22" t="s">
        <v>29</v>
      </c>
      <c r="E16" s="12"/>
      <c r="F16" s="23">
        <v>6994522000</v>
      </c>
      <c r="H16" s="24"/>
      <c r="I16" s="24"/>
      <c r="J16" s="24"/>
      <c r="L16" s="22" t="s">
        <v>29</v>
      </c>
      <c r="M16" s="12"/>
      <c r="N16" s="23">
        <v>6202081000</v>
      </c>
      <c r="P16" s="24"/>
      <c r="Q16" s="24"/>
      <c r="R16" s="24"/>
      <c r="T16" s="22" t="s">
        <v>29</v>
      </c>
      <c r="U16" s="12"/>
      <c r="V16" s="23">
        <v>933461663</v>
      </c>
      <c r="X16" s="24"/>
      <c r="Y16" s="24"/>
      <c r="Z16" s="24"/>
      <c r="AB16" s="22" t="s">
        <v>29</v>
      </c>
      <c r="AC16" s="12"/>
      <c r="AD16" s="23">
        <v>4719527872</v>
      </c>
      <c r="AF16" s="24"/>
      <c r="AG16" s="24"/>
      <c r="AH16" s="24"/>
      <c r="AJ16" s="22" t="s">
        <v>29</v>
      </c>
      <c r="AK16" s="12"/>
      <c r="AL16" s="23">
        <v>2037827000</v>
      </c>
      <c r="AN16" s="24"/>
      <c r="AO16" s="24"/>
      <c r="AP16" s="24"/>
    </row>
    <row r="17" spans="1:42" ht="18.75" thickBot="1">
      <c r="A17" s="25" t="s">
        <v>64</v>
      </c>
      <c r="B17" s="26" t="str">
        <f>IF(A16="O","Oferta",IF(A16="","",IF(A16="p","Presupuesto Oficial")))</f>
        <v>Oferta</v>
      </c>
      <c r="C17" s="27"/>
      <c r="D17" s="22" t="s">
        <v>30</v>
      </c>
      <c r="E17" s="12"/>
      <c r="F17" s="23">
        <v>11713769000</v>
      </c>
      <c r="H17" s="24"/>
      <c r="I17" s="24"/>
      <c r="J17" s="24"/>
      <c r="L17" s="22" t="s">
        <v>30</v>
      </c>
      <c r="M17" s="12"/>
      <c r="N17" s="23">
        <v>6219639000</v>
      </c>
      <c r="P17" s="24"/>
      <c r="Q17" s="24"/>
      <c r="R17" s="24"/>
      <c r="T17" s="22" t="s">
        <v>30</v>
      </c>
      <c r="U17" s="12"/>
      <c r="V17" s="23">
        <v>1410784084</v>
      </c>
      <c r="X17" s="24"/>
      <c r="Y17" s="24"/>
      <c r="Z17" s="24"/>
      <c r="AB17" s="22" t="s">
        <v>30</v>
      </c>
      <c r="AC17" s="12"/>
      <c r="AD17" s="23">
        <v>9090425800</v>
      </c>
      <c r="AF17" s="24"/>
      <c r="AG17" s="24"/>
      <c r="AH17" s="24"/>
      <c r="AJ17" s="22" t="s">
        <v>30</v>
      </c>
      <c r="AK17" s="12"/>
      <c r="AL17" s="23">
        <v>2486335000</v>
      </c>
      <c r="AN17" s="24"/>
      <c r="AO17" s="24"/>
      <c r="AP17" s="24"/>
    </row>
    <row r="18" spans="1:42" ht="13.5" thickBot="1">
      <c r="A18" s="16">
        <v>4</v>
      </c>
      <c r="B18" s="21"/>
      <c r="C18" s="18"/>
      <c r="D18" s="22" t="s">
        <v>31</v>
      </c>
      <c r="E18" s="12"/>
      <c r="F18" s="23">
        <v>3424734000</v>
      </c>
      <c r="H18" s="24"/>
      <c r="I18" s="24"/>
      <c r="J18" s="24"/>
      <c r="L18" s="22" t="s">
        <v>31</v>
      </c>
      <c r="M18" s="12"/>
      <c r="N18" s="23">
        <v>4385219000</v>
      </c>
      <c r="P18" s="24"/>
      <c r="Q18" s="24"/>
      <c r="R18" s="24"/>
      <c r="T18" s="22" t="s">
        <v>31</v>
      </c>
      <c r="U18" s="12"/>
      <c r="V18" s="23">
        <v>80427252</v>
      </c>
      <c r="X18" s="24"/>
      <c r="Y18" s="24"/>
      <c r="Z18" s="24"/>
      <c r="AB18" s="22" t="s">
        <v>31</v>
      </c>
      <c r="AC18" s="12"/>
      <c r="AD18" s="23">
        <v>2034139422</v>
      </c>
      <c r="AF18" s="24"/>
      <c r="AG18" s="24"/>
      <c r="AH18" s="24"/>
      <c r="AJ18" s="22" t="s">
        <v>31</v>
      </c>
      <c r="AK18" s="12"/>
      <c r="AL18" s="23">
        <v>966718000</v>
      </c>
      <c r="AN18" s="24"/>
      <c r="AO18" s="24"/>
      <c r="AP18" s="24"/>
    </row>
    <row r="19" spans="1:42" ht="27.75" thickBot="1">
      <c r="A19" s="25" t="s">
        <v>32</v>
      </c>
      <c r="D19" s="22" t="s">
        <v>33</v>
      </c>
      <c r="E19" s="12"/>
      <c r="F19" s="23">
        <v>5853257000</v>
      </c>
      <c r="H19" s="24"/>
      <c r="I19" s="24"/>
      <c r="J19" s="24"/>
      <c r="L19" s="22" t="s">
        <v>33</v>
      </c>
      <c r="M19" s="12"/>
      <c r="N19" s="23">
        <v>4385219000</v>
      </c>
      <c r="P19" s="24"/>
      <c r="Q19" s="24"/>
      <c r="R19" s="24"/>
      <c r="T19" s="22" t="s">
        <v>33</v>
      </c>
      <c r="U19" s="12"/>
      <c r="V19" s="23">
        <v>694346694</v>
      </c>
      <c r="X19" s="24"/>
      <c r="Y19" s="24"/>
      <c r="Z19" s="24"/>
      <c r="AB19" s="22" t="s">
        <v>33</v>
      </c>
      <c r="AC19" s="12"/>
      <c r="AD19" s="23">
        <v>3308155292</v>
      </c>
      <c r="AF19" s="24"/>
      <c r="AG19" s="24"/>
      <c r="AH19" s="24"/>
      <c r="AJ19" s="22" t="s">
        <v>33</v>
      </c>
      <c r="AK19" s="12"/>
      <c r="AL19" s="23">
        <v>1009537000</v>
      </c>
      <c r="AN19" s="24"/>
      <c r="AO19" s="24"/>
      <c r="AP19" s="24"/>
    </row>
    <row r="20" spans="1:42" ht="13.5" thickBot="1">
      <c r="A20" s="16"/>
      <c r="B20" s="21"/>
      <c r="C20" s="18"/>
      <c r="D20" s="28" t="s">
        <v>34</v>
      </c>
      <c r="E20" s="29"/>
      <c r="F20" s="30">
        <f>+F17-F19</f>
        <v>5860512000</v>
      </c>
      <c r="H20" s="24" t="s">
        <v>35</v>
      </c>
      <c r="I20" s="31">
        <v>41</v>
      </c>
      <c r="J20" s="32">
        <v>6027652000</v>
      </c>
      <c r="L20" s="28" t="s">
        <v>34</v>
      </c>
      <c r="M20" s="29"/>
      <c r="N20" s="30">
        <f>+N17-N19</f>
        <v>1834420000</v>
      </c>
      <c r="P20" s="24" t="s">
        <v>35</v>
      </c>
      <c r="Q20" s="31">
        <v>41</v>
      </c>
      <c r="R20" s="32">
        <v>6027652000</v>
      </c>
      <c r="T20" s="28" t="s">
        <v>34</v>
      </c>
      <c r="U20" s="29"/>
      <c r="V20" s="30">
        <f>+V17-V19</f>
        <v>716437390</v>
      </c>
      <c r="X20" s="24" t="s">
        <v>35</v>
      </c>
      <c r="Y20" s="31">
        <v>41</v>
      </c>
      <c r="Z20" s="32">
        <v>6027652000</v>
      </c>
      <c r="AB20" s="28" t="s">
        <v>34</v>
      </c>
      <c r="AC20" s="29"/>
      <c r="AD20" s="30">
        <f>+AD17-AD19</f>
        <v>5782270508</v>
      </c>
      <c r="AF20" s="24" t="s">
        <v>35</v>
      </c>
      <c r="AG20" s="31">
        <v>41</v>
      </c>
      <c r="AH20" s="32">
        <v>6027652000</v>
      </c>
      <c r="AJ20" s="28" t="s">
        <v>34</v>
      </c>
      <c r="AK20" s="29"/>
      <c r="AL20" s="30">
        <f>+AL17-AL19</f>
        <v>1476798000</v>
      </c>
      <c r="AN20" s="24" t="s">
        <v>35</v>
      </c>
      <c r="AO20" s="31">
        <v>41</v>
      </c>
      <c r="AP20" s="32">
        <v>6027652000</v>
      </c>
    </row>
    <row r="21" spans="1:42" ht="13.5" thickBot="1">
      <c r="A21" s="16"/>
      <c r="B21" s="21"/>
      <c r="C21" s="18"/>
      <c r="D21" s="33" t="s">
        <v>36</v>
      </c>
      <c r="E21" s="34"/>
      <c r="F21" s="35">
        <v>8499217172</v>
      </c>
      <c r="H21" s="36" t="s">
        <v>37</v>
      </c>
      <c r="I21" s="31"/>
      <c r="J21" s="37"/>
      <c r="L21" s="33" t="s">
        <v>36</v>
      </c>
      <c r="M21" s="34"/>
      <c r="N21" s="35">
        <v>8499217172</v>
      </c>
      <c r="P21" s="36" t="s">
        <v>37</v>
      </c>
      <c r="Q21" s="31"/>
      <c r="R21" s="37"/>
      <c r="T21" s="33" t="s">
        <v>36</v>
      </c>
      <c r="U21" s="34"/>
      <c r="V21" s="35">
        <v>8499217172</v>
      </c>
      <c r="X21" s="36" t="s">
        <v>37</v>
      </c>
      <c r="Y21" s="31"/>
      <c r="Z21" s="37"/>
      <c r="AB21" s="33" t="s">
        <v>36</v>
      </c>
      <c r="AC21" s="34"/>
      <c r="AD21" s="35">
        <v>8499217172</v>
      </c>
      <c r="AF21" s="36" t="s">
        <v>37</v>
      </c>
      <c r="AG21" s="31"/>
      <c r="AH21" s="37"/>
      <c r="AJ21" s="33" t="s">
        <v>36</v>
      </c>
      <c r="AK21" s="34"/>
      <c r="AL21" s="38">
        <v>8499217172</v>
      </c>
      <c r="AN21" s="36" t="s">
        <v>37</v>
      </c>
      <c r="AO21" s="31"/>
      <c r="AP21" s="37"/>
    </row>
    <row r="22" spans="1:42" ht="13.5" hidden="1" thickBot="1">
      <c r="A22" s="16"/>
      <c r="B22" s="21"/>
      <c r="C22" s="18"/>
      <c r="D22" s="22"/>
      <c r="E22" s="12"/>
      <c r="F22" s="39"/>
      <c r="H22" s="24" t="s">
        <v>38</v>
      </c>
      <c r="I22" s="37"/>
      <c r="J22" s="32"/>
      <c r="L22" s="22"/>
      <c r="M22" s="12"/>
      <c r="N22" s="39"/>
      <c r="P22" s="24" t="s">
        <v>38</v>
      </c>
      <c r="Q22" s="37"/>
      <c r="R22" s="32"/>
      <c r="T22" s="22"/>
      <c r="U22" s="12"/>
      <c r="V22" s="39"/>
      <c r="X22" s="24" t="s">
        <v>38</v>
      </c>
      <c r="Y22" s="37"/>
      <c r="Z22" s="32"/>
      <c r="AB22" s="22"/>
      <c r="AC22" s="12"/>
      <c r="AD22" s="39"/>
      <c r="AF22" s="24" t="s">
        <v>38</v>
      </c>
      <c r="AG22" s="37"/>
      <c r="AH22" s="32"/>
      <c r="AJ22" s="22"/>
      <c r="AK22" s="12"/>
      <c r="AL22" s="40"/>
      <c r="AN22" s="24" t="s">
        <v>38</v>
      </c>
      <c r="AO22" s="37"/>
      <c r="AP22" s="32"/>
    </row>
    <row r="23" spans="1:42" ht="13.5" hidden="1" thickBot="1">
      <c r="A23" s="16"/>
      <c r="B23" s="21"/>
      <c r="C23" s="18"/>
      <c r="D23" s="22"/>
      <c r="E23" s="12"/>
      <c r="F23" s="39"/>
      <c r="H23" s="24"/>
      <c r="I23" s="24"/>
      <c r="J23" s="24"/>
      <c r="L23" s="22"/>
      <c r="M23" s="12"/>
      <c r="N23" s="39"/>
      <c r="P23" s="24"/>
      <c r="Q23" s="24"/>
      <c r="R23" s="24"/>
      <c r="T23" s="22"/>
      <c r="U23" s="12"/>
      <c r="V23" s="39"/>
      <c r="X23" s="24"/>
      <c r="Y23" s="24"/>
      <c r="Z23" s="24"/>
      <c r="AB23" s="22"/>
      <c r="AC23" s="12"/>
      <c r="AD23" s="39"/>
      <c r="AF23" s="24"/>
      <c r="AG23" s="24"/>
      <c r="AH23" s="24"/>
      <c r="AJ23" s="22"/>
      <c r="AK23" s="12"/>
      <c r="AL23" s="40"/>
      <c r="AN23" s="24"/>
      <c r="AO23" s="24"/>
      <c r="AP23" s="24"/>
    </row>
    <row r="24" spans="1:42" ht="13.5" hidden="1" thickBot="1">
      <c r="A24" s="16"/>
      <c r="B24" s="21"/>
      <c r="C24" s="18"/>
      <c r="D24" s="22"/>
      <c r="E24" s="12"/>
      <c r="F24" s="39"/>
      <c r="H24" s="24" t="s">
        <v>39</v>
      </c>
      <c r="I24" s="24"/>
      <c r="J24" s="41">
        <f>SUM(J20:J23)</f>
        <v>6027652000</v>
      </c>
      <c r="L24" s="22"/>
      <c r="M24" s="12"/>
      <c r="N24" s="39"/>
      <c r="P24" s="24" t="s">
        <v>39</v>
      </c>
      <c r="Q24" s="24"/>
      <c r="R24" s="41">
        <f>SUM(R20:R23)</f>
        <v>6027652000</v>
      </c>
      <c r="T24" s="22"/>
      <c r="U24" s="12"/>
      <c r="V24" s="39"/>
      <c r="X24" s="24" t="s">
        <v>39</v>
      </c>
      <c r="Y24" s="24"/>
      <c r="Z24" s="41">
        <f>SUM(Z20:Z23)</f>
        <v>6027652000</v>
      </c>
      <c r="AB24" s="22"/>
      <c r="AC24" s="12"/>
      <c r="AD24" s="39"/>
      <c r="AF24" s="24" t="s">
        <v>39</v>
      </c>
      <c r="AG24" s="24"/>
      <c r="AH24" s="41">
        <f>SUM(AH20:AH23)</f>
        <v>6027652000</v>
      </c>
      <c r="AJ24" s="22"/>
      <c r="AK24" s="12"/>
      <c r="AL24" s="40"/>
      <c r="AN24" s="24" t="s">
        <v>39</v>
      </c>
      <c r="AO24" s="24"/>
      <c r="AP24" s="41">
        <f>SUM(AP20:AP23)</f>
        <v>6027652000</v>
      </c>
    </row>
    <row r="25" spans="1:42" ht="13.5" hidden="1" thickBot="1">
      <c r="A25" s="16"/>
      <c r="B25" s="21"/>
      <c r="C25" s="18"/>
      <c r="D25" s="22"/>
      <c r="E25" s="12"/>
      <c r="F25" s="39"/>
      <c r="H25" s="24"/>
      <c r="I25" s="24"/>
      <c r="J25" s="41"/>
      <c r="L25" s="22"/>
      <c r="M25" s="12"/>
      <c r="N25" s="39"/>
      <c r="P25" s="24"/>
      <c r="Q25" s="24"/>
      <c r="R25" s="41"/>
      <c r="T25" s="22"/>
      <c r="U25" s="12"/>
      <c r="V25" s="39"/>
      <c r="X25" s="24"/>
      <c r="Y25" s="24"/>
      <c r="Z25" s="41"/>
      <c r="AB25" s="22"/>
      <c r="AC25" s="12"/>
      <c r="AD25" s="39"/>
      <c r="AF25" s="24"/>
      <c r="AG25" s="24"/>
      <c r="AH25" s="41"/>
      <c r="AJ25" s="22"/>
      <c r="AK25" s="12"/>
      <c r="AL25" s="40"/>
      <c r="AN25" s="24"/>
      <c r="AO25" s="24"/>
      <c r="AP25" s="41"/>
    </row>
    <row r="26" spans="1:42" ht="13.5" hidden="1" thickBot="1">
      <c r="A26" s="16"/>
      <c r="B26" s="21"/>
      <c r="C26" s="18"/>
      <c r="D26" s="22"/>
      <c r="E26" s="12"/>
      <c r="F26" s="39"/>
      <c r="H26" s="24" t="s">
        <v>40</v>
      </c>
      <c r="I26" s="24"/>
      <c r="J26" s="41">
        <f>+J24-F20</f>
        <v>167140000</v>
      </c>
      <c r="L26" s="22"/>
      <c r="M26" s="12"/>
      <c r="N26" s="39"/>
      <c r="P26" s="24" t="s">
        <v>40</v>
      </c>
      <c r="Q26" s="24"/>
      <c r="R26" s="41">
        <f>+R24-N20</f>
        <v>4193232000</v>
      </c>
      <c r="T26" s="22"/>
      <c r="U26" s="12"/>
      <c r="V26" s="39"/>
      <c r="X26" s="24" t="s">
        <v>40</v>
      </c>
      <c r="Y26" s="24"/>
      <c r="Z26" s="41">
        <f>+Z24-V20</f>
        <v>5311214610</v>
      </c>
      <c r="AB26" s="22"/>
      <c r="AC26" s="12"/>
      <c r="AD26" s="39"/>
      <c r="AF26" s="24" t="s">
        <v>40</v>
      </c>
      <c r="AG26" s="24"/>
      <c r="AH26" s="41">
        <f>+AH24-AD20</f>
        <v>245381492</v>
      </c>
      <c r="AJ26" s="22"/>
      <c r="AK26" s="12"/>
      <c r="AL26" s="40"/>
      <c r="AN26" s="24" t="s">
        <v>40</v>
      </c>
      <c r="AO26" s="24"/>
      <c r="AP26" s="41">
        <f>+AP24-AL20</f>
        <v>4550854000</v>
      </c>
    </row>
    <row r="27" spans="1:42" ht="13.5" hidden="1" thickBot="1">
      <c r="A27" s="16"/>
      <c r="B27" s="21"/>
      <c r="C27" s="18"/>
      <c r="D27" s="22"/>
      <c r="E27" s="12"/>
      <c r="F27" s="39"/>
      <c r="H27" s="24" t="s">
        <v>41</v>
      </c>
      <c r="I27" s="24"/>
      <c r="J27" s="42">
        <f>1-(J24/F21)</f>
        <v>0.29079915502599185</v>
      </c>
      <c r="L27" s="22"/>
      <c r="M27" s="12"/>
      <c r="N27" s="39"/>
      <c r="P27" s="24" t="s">
        <v>41</v>
      </c>
      <c r="Q27" s="24"/>
      <c r="R27" s="42">
        <f>1-(R24/N21)</f>
        <v>0.29079915502599185</v>
      </c>
      <c r="T27" s="22"/>
      <c r="U27" s="12"/>
      <c r="V27" s="39"/>
      <c r="X27" s="24" t="s">
        <v>41</v>
      </c>
      <c r="Y27" s="24"/>
      <c r="Z27" s="42">
        <f>1-(Z24/V21)</f>
        <v>0.29079915502599185</v>
      </c>
      <c r="AB27" s="22"/>
      <c r="AC27" s="12"/>
      <c r="AD27" s="39"/>
      <c r="AF27" s="24" t="s">
        <v>41</v>
      </c>
      <c r="AG27" s="24"/>
      <c r="AH27" s="42">
        <f>1-(AH24/AD21)</f>
        <v>0.29079915502599185</v>
      </c>
      <c r="AJ27" s="22"/>
      <c r="AK27" s="12"/>
      <c r="AL27" s="40"/>
      <c r="AN27" s="24" t="s">
        <v>41</v>
      </c>
      <c r="AO27" s="24"/>
      <c r="AP27" s="42">
        <f>1-(AP24/AL21)</f>
        <v>0.29079915502599185</v>
      </c>
    </row>
    <row r="28" spans="1:42" ht="13.5" hidden="1" thickBot="1">
      <c r="A28" s="16"/>
      <c r="B28" s="21"/>
      <c r="C28" s="18"/>
      <c r="D28" s="43" t="s">
        <v>42</v>
      </c>
      <c r="E28" s="12"/>
      <c r="F28" s="39"/>
      <c r="H28" s="24"/>
      <c r="I28" s="24"/>
      <c r="J28" s="44" t="str">
        <f>IF(J27&gt;=0.4,"NO APRUEBA","APRUEBA")</f>
        <v>APRUEBA</v>
      </c>
      <c r="L28" s="43" t="s">
        <v>42</v>
      </c>
      <c r="M28" s="12"/>
      <c r="N28" s="39"/>
      <c r="P28" s="24"/>
      <c r="Q28" s="24"/>
      <c r="R28" s="44" t="str">
        <f>IF(R27&gt;=0.4,"NO APRUEBA","APRUEBA")</f>
        <v>APRUEBA</v>
      </c>
      <c r="T28" s="43" t="s">
        <v>42</v>
      </c>
      <c r="U28" s="12"/>
      <c r="V28" s="39"/>
      <c r="X28" s="24"/>
      <c r="Y28" s="24"/>
      <c r="Z28" s="44" t="str">
        <f>IF(Z27&gt;=0.4,"NO APRUEBA","APRUEBA")</f>
        <v>APRUEBA</v>
      </c>
      <c r="AB28" s="43" t="s">
        <v>42</v>
      </c>
      <c r="AC28" s="12"/>
      <c r="AD28" s="39"/>
      <c r="AF28" s="24"/>
      <c r="AG28" s="24"/>
      <c r="AH28" s="44" t="str">
        <f>IF(AH27&gt;=0.4,"NO APRUEBA","APRUEBA")</f>
        <v>APRUEBA</v>
      </c>
      <c r="AJ28" s="43" t="s">
        <v>42</v>
      </c>
      <c r="AK28" s="12"/>
      <c r="AL28" s="40"/>
      <c r="AN28" s="24"/>
      <c r="AO28" s="24"/>
      <c r="AP28" s="44" t="str">
        <f>IF(AP27&gt;=0.4,"NO APRUEBA","APRUEBA")</f>
        <v>APRUEBA</v>
      </c>
    </row>
    <row r="29" spans="2:42" ht="13.5" hidden="1" thickBot="1">
      <c r="B29" s="45"/>
      <c r="C29" s="46"/>
      <c r="D29" s="47" t="s">
        <v>43</v>
      </c>
      <c r="E29" s="12"/>
      <c r="F29" s="23">
        <v>46656269000</v>
      </c>
      <c r="H29" s="24"/>
      <c r="I29" s="24"/>
      <c r="J29" s="24"/>
      <c r="L29" s="47" t="s">
        <v>43</v>
      </c>
      <c r="M29" s="12"/>
      <c r="N29" s="23">
        <v>46656269000</v>
      </c>
      <c r="P29" s="24"/>
      <c r="Q29" s="24"/>
      <c r="R29" s="24"/>
      <c r="T29" s="47" t="s">
        <v>43</v>
      </c>
      <c r="U29" s="12"/>
      <c r="V29" s="23">
        <v>46656269000</v>
      </c>
      <c r="X29" s="24"/>
      <c r="Y29" s="24"/>
      <c r="Z29" s="24"/>
      <c r="AB29" s="47" t="s">
        <v>43</v>
      </c>
      <c r="AC29" s="12"/>
      <c r="AD29" s="23">
        <v>46656269000</v>
      </c>
      <c r="AF29" s="24"/>
      <c r="AG29" s="24"/>
      <c r="AH29" s="24"/>
      <c r="AJ29" s="47" t="s">
        <v>43</v>
      </c>
      <c r="AK29" s="12"/>
      <c r="AL29" s="48">
        <v>46656269000</v>
      </c>
      <c r="AN29" s="24"/>
      <c r="AO29" s="24"/>
      <c r="AP29" s="24"/>
    </row>
    <row r="30" spans="4:42" ht="12.75" hidden="1">
      <c r="D30" s="47" t="s">
        <v>44</v>
      </c>
      <c r="E30" s="12">
        <v>72</v>
      </c>
      <c r="F30" s="23">
        <v>46667574000</v>
      </c>
      <c r="H30" s="24"/>
      <c r="I30" s="24"/>
      <c r="J30" s="24"/>
      <c r="L30" s="47" t="s">
        <v>44</v>
      </c>
      <c r="M30" s="12">
        <v>72</v>
      </c>
      <c r="N30" s="23">
        <v>46667574000</v>
      </c>
      <c r="P30" s="24"/>
      <c r="Q30" s="24"/>
      <c r="R30" s="24"/>
      <c r="T30" s="47" t="s">
        <v>44</v>
      </c>
      <c r="U30" s="12">
        <v>72</v>
      </c>
      <c r="V30" s="23">
        <v>46667574000</v>
      </c>
      <c r="X30" s="24"/>
      <c r="Y30" s="24"/>
      <c r="Z30" s="24"/>
      <c r="AB30" s="47" t="s">
        <v>44</v>
      </c>
      <c r="AC30" s="12">
        <v>72</v>
      </c>
      <c r="AD30" s="23">
        <v>46667574000</v>
      </c>
      <c r="AF30" s="24"/>
      <c r="AG30" s="24"/>
      <c r="AH30" s="24"/>
      <c r="AJ30" s="47" t="s">
        <v>44</v>
      </c>
      <c r="AK30" s="12">
        <v>72</v>
      </c>
      <c r="AL30" s="48">
        <v>46667574000</v>
      </c>
      <c r="AN30" s="24"/>
      <c r="AO30" s="24"/>
      <c r="AP30" s="24"/>
    </row>
    <row r="31" spans="4:42" ht="13.5" thickBot="1">
      <c r="D31" s="49" t="s">
        <v>45</v>
      </c>
      <c r="E31" s="29"/>
      <c r="F31" s="50">
        <v>138000000</v>
      </c>
      <c r="H31" s="24"/>
      <c r="I31" s="24"/>
      <c r="J31" s="24"/>
      <c r="L31" s="49" t="s">
        <v>45</v>
      </c>
      <c r="M31" s="29"/>
      <c r="N31" s="50">
        <v>57357093</v>
      </c>
      <c r="P31" s="24"/>
      <c r="Q31" s="24"/>
      <c r="R31" s="24"/>
      <c r="T31" s="49" t="s">
        <v>45</v>
      </c>
      <c r="U31" s="29"/>
      <c r="V31" s="50">
        <f>174543228+174380767+136445325</f>
        <v>485369320</v>
      </c>
      <c r="X31" s="24"/>
      <c r="Y31" s="24"/>
      <c r="Z31" s="24"/>
      <c r="AB31" s="49" t="s">
        <v>45</v>
      </c>
      <c r="AC31" s="29"/>
      <c r="AD31" s="50">
        <v>75793124</v>
      </c>
      <c r="AF31" s="24"/>
      <c r="AG31" s="24"/>
      <c r="AH31" s="24"/>
      <c r="AJ31" s="49" t="s">
        <v>45</v>
      </c>
      <c r="AK31" s="29"/>
      <c r="AL31" s="51">
        <v>155127960</v>
      </c>
      <c r="AN31" s="24"/>
      <c r="AO31" s="24"/>
      <c r="AP31" s="24"/>
    </row>
    <row r="32" spans="4:38" ht="12.75">
      <c r="D32" s="4"/>
      <c r="F32" s="5"/>
      <c r="L32" s="4"/>
      <c r="N32" s="5"/>
      <c r="T32" s="4"/>
      <c r="V32" s="5"/>
      <c r="AB32" s="4"/>
      <c r="AD32" s="5"/>
      <c r="AJ32" s="4"/>
      <c r="AL32" s="52"/>
    </row>
    <row r="33" spans="4:38" ht="12.75">
      <c r="D33" s="4"/>
      <c r="F33" s="5"/>
      <c r="L33" s="4"/>
      <c r="N33" s="5"/>
      <c r="T33" s="4"/>
      <c r="V33" s="5"/>
      <c r="AB33" s="4"/>
      <c r="AD33" s="5"/>
      <c r="AJ33" s="4"/>
      <c r="AL33" s="5"/>
    </row>
    <row r="34" spans="4:38" ht="13.5" thickBot="1">
      <c r="D34" s="4" t="s">
        <v>1</v>
      </c>
      <c r="F34" s="5"/>
      <c r="L34" s="4" t="s">
        <v>1</v>
      </c>
      <c r="N34" s="5"/>
      <c r="T34" s="4" t="s">
        <v>1</v>
      </c>
      <c r="V34" s="5"/>
      <c r="AB34" s="4" t="s">
        <v>1</v>
      </c>
      <c r="AD34" s="5"/>
      <c r="AJ34" s="4" t="s">
        <v>1</v>
      </c>
      <c r="AL34" s="5"/>
    </row>
    <row r="35" spans="2:42" ht="21.75" customHeight="1" thickBot="1">
      <c r="B35" s="53"/>
      <c r="C35" s="54"/>
      <c r="D35" s="107" t="str">
        <f>+D5</f>
        <v>ANALYTICA S.A.</v>
      </c>
      <c r="E35" s="108"/>
      <c r="F35" s="108"/>
      <c r="G35" s="108"/>
      <c r="H35" s="108"/>
      <c r="I35" s="108"/>
      <c r="J35" s="109"/>
      <c r="L35" s="107" t="str">
        <f>+L5</f>
        <v>AUTOMATIZACION AVANZADA S.A.</v>
      </c>
      <c r="M35" s="108"/>
      <c r="N35" s="108"/>
      <c r="O35" s="108"/>
      <c r="P35" s="108"/>
      <c r="Q35" s="108"/>
      <c r="R35" s="109"/>
      <c r="T35" s="107" t="str">
        <f>+T5</f>
        <v>ELECTROEQUIPOS COLOMBIA LTDA</v>
      </c>
      <c r="U35" s="108"/>
      <c r="V35" s="108"/>
      <c r="W35" s="108"/>
      <c r="X35" s="108"/>
      <c r="Y35" s="108"/>
      <c r="Z35" s="109"/>
      <c r="AB35" s="107" t="str">
        <f>+AB5</f>
        <v>ARISMA S.A.</v>
      </c>
      <c r="AC35" s="108"/>
      <c r="AD35" s="108"/>
      <c r="AE35" s="108"/>
      <c r="AF35" s="108"/>
      <c r="AG35" s="108"/>
      <c r="AH35" s="109"/>
      <c r="AJ35" s="107" t="str">
        <f>+AJ5</f>
        <v>GEOSYSTEM INGENIERIA LTDA</v>
      </c>
      <c r="AK35" s="108"/>
      <c r="AL35" s="108"/>
      <c r="AM35" s="108"/>
      <c r="AN35" s="108"/>
      <c r="AO35" s="108"/>
      <c r="AP35" s="109"/>
    </row>
    <row r="36" spans="2:42" ht="13.5" thickBot="1">
      <c r="B36" s="21"/>
      <c r="C36" s="55"/>
      <c r="D36" s="53"/>
      <c r="E36" s="56"/>
      <c r="F36" s="56"/>
      <c r="G36" s="56"/>
      <c r="H36" s="56"/>
      <c r="I36" s="56"/>
      <c r="J36" s="57"/>
      <c r="L36" s="53"/>
      <c r="M36" s="56"/>
      <c r="N36" s="56"/>
      <c r="O36" s="56"/>
      <c r="P36" s="56"/>
      <c r="Q36" s="56"/>
      <c r="R36" s="57"/>
      <c r="T36" s="53"/>
      <c r="U36" s="56"/>
      <c r="V36" s="56"/>
      <c r="W36" s="56"/>
      <c r="X36" s="56"/>
      <c r="Y36" s="56"/>
      <c r="Z36" s="57"/>
      <c r="AB36" s="53"/>
      <c r="AC36" s="56"/>
      <c r="AD36" s="56"/>
      <c r="AE36" s="56"/>
      <c r="AF36" s="56"/>
      <c r="AG36" s="56"/>
      <c r="AH36" s="57"/>
      <c r="AJ36" s="53"/>
      <c r="AK36" s="56"/>
      <c r="AL36" s="56"/>
      <c r="AM36" s="56"/>
      <c r="AN36" s="56"/>
      <c r="AO36" s="56"/>
      <c r="AP36" s="57"/>
    </row>
    <row r="37" spans="1:42" ht="12.75">
      <c r="A37" s="114">
        <v>1.4</v>
      </c>
      <c r="B37" s="112" t="s">
        <v>46</v>
      </c>
      <c r="C37" s="117" t="str">
        <f>CONCATENATE(C313,"  ",A37)</f>
        <v>Activo corriente / Pasivo corriente &gt;=   1,4</v>
      </c>
      <c r="D37" s="58" t="s">
        <v>29</v>
      </c>
      <c r="E37" s="18"/>
      <c r="F37" s="59">
        <f>+F16</f>
        <v>6994522000</v>
      </c>
      <c r="G37" s="18"/>
      <c r="H37" s="110">
        <f>+F37/F38</f>
        <v>2.0423548223015278</v>
      </c>
      <c r="I37" s="18"/>
      <c r="J37" s="111" t="str">
        <f>IF(F37="","",IF(H37&gt;=A37,"CUMPLE","NO CUMPLE"))</f>
        <v>CUMPLE</v>
      </c>
      <c r="L37" s="58" t="s">
        <v>29</v>
      </c>
      <c r="M37" s="18"/>
      <c r="N37" s="59">
        <f>+N16</f>
        <v>6202081000</v>
      </c>
      <c r="O37" s="18"/>
      <c r="P37" s="113">
        <f>+N37/N38</f>
        <v>1.4143149977230327</v>
      </c>
      <c r="Q37" s="18"/>
      <c r="R37" s="111" t="str">
        <f>IF(N37="","",IF(P37&gt;=$A37,"CUMPLE","NO CUMPLE"))</f>
        <v>CUMPLE</v>
      </c>
      <c r="T37" s="58" t="s">
        <v>29</v>
      </c>
      <c r="U37" s="18"/>
      <c r="V37" s="59">
        <f>+V16</f>
        <v>933461663</v>
      </c>
      <c r="W37" s="18"/>
      <c r="X37" s="110">
        <f>+V37/V38</f>
        <v>11.606285677894354</v>
      </c>
      <c r="Y37" s="18"/>
      <c r="Z37" s="111" t="str">
        <f>IF(V37="","",IF(X37&gt;=$A37,"CUMPLE","NO CUMPLE"))</f>
        <v>CUMPLE</v>
      </c>
      <c r="AB37" s="58" t="s">
        <v>29</v>
      </c>
      <c r="AC37" s="18"/>
      <c r="AD37" s="59">
        <f>+AD16</f>
        <v>4719527872</v>
      </c>
      <c r="AE37" s="18"/>
      <c r="AF37" s="110">
        <f>+AD37/AD38</f>
        <v>2.3201594841319584</v>
      </c>
      <c r="AG37" s="18"/>
      <c r="AH37" s="111" t="str">
        <f>IF(AD37="","",IF(AF37&gt;=$A37,"CUMPLE","NO CUMPLE"))</f>
        <v>CUMPLE</v>
      </c>
      <c r="AJ37" s="58" t="s">
        <v>29</v>
      </c>
      <c r="AK37" s="18"/>
      <c r="AL37" s="59">
        <f>+AL16</f>
        <v>2037827000</v>
      </c>
      <c r="AM37" s="18"/>
      <c r="AN37" s="110">
        <f>+AL37/AL38</f>
        <v>2.107984955281685</v>
      </c>
      <c r="AO37" s="18"/>
      <c r="AP37" s="111" t="str">
        <f>IF(AL37="","",IF(AN37&gt;=$A37,"CUMPLE","NO CUMPLE"))</f>
        <v>CUMPLE</v>
      </c>
    </row>
    <row r="38" spans="1:42" ht="13.5" thickBot="1">
      <c r="A38" s="114" t="str">
        <f>VLOOKUP($A$14,'[1]COMBINACIONES'!$B$4:$I$20,3,0)</f>
        <v>Proveeduría de bienes.</v>
      </c>
      <c r="B38" s="112"/>
      <c r="C38" s="117"/>
      <c r="D38" s="60" t="s">
        <v>31</v>
      </c>
      <c r="E38" s="18"/>
      <c r="F38" s="61">
        <f>+F18</f>
        <v>3424734000</v>
      </c>
      <c r="G38" s="18"/>
      <c r="H38" s="110"/>
      <c r="I38" s="18"/>
      <c r="J38" s="111"/>
      <c r="L38" s="60" t="s">
        <v>31</v>
      </c>
      <c r="M38" s="18"/>
      <c r="N38" s="61">
        <f>+N18</f>
        <v>4385219000</v>
      </c>
      <c r="O38" s="18"/>
      <c r="P38" s="113"/>
      <c r="Q38" s="18"/>
      <c r="R38" s="111"/>
      <c r="T38" s="60" t="s">
        <v>31</v>
      </c>
      <c r="U38" s="18"/>
      <c r="V38" s="61">
        <f>+V18</f>
        <v>80427252</v>
      </c>
      <c r="W38" s="18"/>
      <c r="X38" s="110"/>
      <c r="Y38" s="18"/>
      <c r="Z38" s="111"/>
      <c r="AB38" s="60" t="s">
        <v>31</v>
      </c>
      <c r="AC38" s="18"/>
      <c r="AD38" s="61">
        <f>+AD18</f>
        <v>2034139422</v>
      </c>
      <c r="AE38" s="18"/>
      <c r="AF38" s="110"/>
      <c r="AG38" s="18"/>
      <c r="AH38" s="111"/>
      <c r="AJ38" s="60" t="s">
        <v>31</v>
      </c>
      <c r="AK38" s="18"/>
      <c r="AL38" s="61">
        <f>+AL18</f>
        <v>966718000</v>
      </c>
      <c r="AM38" s="18"/>
      <c r="AN38" s="110"/>
      <c r="AO38" s="18"/>
      <c r="AP38" s="111"/>
    </row>
    <row r="39" spans="1:42" ht="13.5" thickBot="1">
      <c r="A39" s="62"/>
      <c r="B39" s="21"/>
      <c r="C39" s="55"/>
      <c r="D39" s="21"/>
      <c r="E39" s="18"/>
      <c r="F39" s="18"/>
      <c r="G39" s="18"/>
      <c r="H39" s="18"/>
      <c r="I39" s="18"/>
      <c r="J39" s="63"/>
      <c r="L39" s="21"/>
      <c r="M39" s="18"/>
      <c r="N39" s="18"/>
      <c r="O39" s="18"/>
      <c r="P39" s="18"/>
      <c r="Q39" s="18"/>
      <c r="R39" s="63"/>
      <c r="T39" s="21"/>
      <c r="U39" s="18"/>
      <c r="V39" s="18"/>
      <c r="W39" s="18"/>
      <c r="X39" s="18"/>
      <c r="Y39" s="18"/>
      <c r="Z39" s="63"/>
      <c r="AB39" s="21"/>
      <c r="AC39" s="18"/>
      <c r="AD39" s="18"/>
      <c r="AE39" s="18"/>
      <c r="AF39" s="18"/>
      <c r="AG39" s="18"/>
      <c r="AH39" s="63"/>
      <c r="AJ39" s="21"/>
      <c r="AK39" s="18"/>
      <c r="AL39" s="18"/>
      <c r="AM39" s="18"/>
      <c r="AN39" s="18"/>
      <c r="AO39" s="18"/>
      <c r="AP39" s="63"/>
    </row>
    <row r="40" spans="1:42" ht="12.75">
      <c r="A40" s="115">
        <v>0.7</v>
      </c>
      <c r="B40" s="112" t="s">
        <v>47</v>
      </c>
      <c r="C40" s="117" t="str">
        <f>CONCATENATE(C314,"  ",A40)</f>
        <v>Pasivo total / Activo total  &lt;=   0,7</v>
      </c>
      <c r="D40" s="58" t="s">
        <v>33</v>
      </c>
      <c r="E40" s="18"/>
      <c r="F40" s="59">
        <f>+F19</f>
        <v>5853257000</v>
      </c>
      <c r="G40" s="18"/>
      <c r="H40" s="113">
        <f>+F40/F41</f>
        <v>0.4996903217060196</v>
      </c>
      <c r="I40" s="18"/>
      <c r="J40" s="111" t="str">
        <f>IF(F40="","",IF(H40&lt;=A40,"CUMPLE","NO CUMPLE"))</f>
        <v>CUMPLE</v>
      </c>
      <c r="L40" s="58" t="s">
        <v>33</v>
      </c>
      <c r="M40" s="18"/>
      <c r="N40" s="59">
        <f>+N19</f>
        <v>4385219000</v>
      </c>
      <c r="O40" s="18"/>
      <c r="P40" s="113">
        <f>+N40/N41</f>
        <v>0.7050600525207331</v>
      </c>
      <c r="Q40" s="18"/>
      <c r="R40" s="111" t="str">
        <f>IF(N40="","",IF(P40&lt;=$A40,"CUMPLE","NO CUMPLE"))</f>
        <v>NO CUMPLE</v>
      </c>
      <c r="T40" s="58" t="s">
        <v>33</v>
      </c>
      <c r="U40" s="18"/>
      <c r="V40" s="59">
        <f>+V19</f>
        <v>694346694</v>
      </c>
      <c r="W40" s="18"/>
      <c r="X40" s="113">
        <f>+V40/V41</f>
        <v>0.492170773596564</v>
      </c>
      <c r="Y40" s="18"/>
      <c r="Z40" s="111" t="str">
        <f>IF(V40="","",IF(X40&lt;=$A40,"CUMPLE","NO CUMPLE"))</f>
        <v>CUMPLE</v>
      </c>
      <c r="AB40" s="58" t="s">
        <v>33</v>
      </c>
      <c r="AC40" s="18"/>
      <c r="AD40" s="59">
        <f>+AD19</f>
        <v>3308155292</v>
      </c>
      <c r="AE40" s="18"/>
      <c r="AF40" s="113">
        <f>+AD40/AD41</f>
        <v>0.36391642864517965</v>
      </c>
      <c r="AG40" s="18"/>
      <c r="AH40" s="111" t="str">
        <f>IF(AD40="","",IF(AF40&lt;=$A40,"CUMPLE","NO CUMPLE"))</f>
        <v>CUMPLE</v>
      </c>
      <c r="AJ40" s="58" t="s">
        <v>33</v>
      </c>
      <c r="AK40" s="18"/>
      <c r="AL40" s="59">
        <f>+AL19</f>
        <v>1009537000</v>
      </c>
      <c r="AM40" s="18"/>
      <c r="AN40" s="113">
        <f>+AL40/AL41</f>
        <v>0.40603418284342213</v>
      </c>
      <c r="AO40" s="18"/>
      <c r="AP40" s="111" t="str">
        <f>IF(AL40="","",IF(AN40&lt;=$A40,"CUMPLE","NO CUMPLE"))</f>
        <v>CUMPLE</v>
      </c>
    </row>
    <row r="41" spans="1:42" ht="13.5" thickBot="1">
      <c r="A41" s="116" t="str">
        <f>VLOOKUP($A$14,'[1]COMBINACIONES'!$B$4:$I$20,3,0)</f>
        <v>Proveeduría de bienes.</v>
      </c>
      <c r="B41" s="112"/>
      <c r="C41" s="117"/>
      <c r="D41" s="60" t="s">
        <v>30</v>
      </c>
      <c r="E41" s="18"/>
      <c r="F41" s="61">
        <f>+F17</f>
        <v>11713769000</v>
      </c>
      <c r="G41" s="18"/>
      <c r="H41" s="113"/>
      <c r="I41" s="18"/>
      <c r="J41" s="111"/>
      <c r="L41" s="60" t="s">
        <v>30</v>
      </c>
      <c r="M41" s="18"/>
      <c r="N41" s="61">
        <f>+N17</f>
        <v>6219639000</v>
      </c>
      <c r="O41" s="18"/>
      <c r="P41" s="113"/>
      <c r="Q41" s="18"/>
      <c r="R41" s="111"/>
      <c r="T41" s="60" t="s">
        <v>30</v>
      </c>
      <c r="U41" s="18"/>
      <c r="V41" s="61">
        <f>+V17</f>
        <v>1410784084</v>
      </c>
      <c r="W41" s="18"/>
      <c r="X41" s="113"/>
      <c r="Y41" s="18"/>
      <c r="Z41" s="111"/>
      <c r="AB41" s="60" t="s">
        <v>30</v>
      </c>
      <c r="AC41" s="18"/>
      <c r="AD41" s="61">
        <f>+AD17</f>
        <v>9090425800</v>
      </c>
      <c r="AE41" s="18"/>
      <c r="AF41" s="113"/>
      <c r="AG41" s="18"/>
      <c r="AH41" s="111"/>
      <c r="AJ41" s="60" t="s">
        <v>30</v>
      </c>
      <c r="AK41" s="18"/>
      <c r="AL41" s="61">
        <f>+AL17</f>
        <v>2486335000</v>
      </c>
      <c r="AM41" s="18"/>
      <c r="AN41" s="113"/>
      <c r="AO41" s="18"/>
      <c r="AP41" s="111"/>
    </row>
    <row r="42" spans="1:42" ht="13.5" thickBot="1">
      <c r="A42" s="62"/>
      <c r="B42" s="21"/>
      <c r="C42" s="55"/>
      <c r="D42" s="21"/>
      <c r="E42" s="18"/>
      <c r="F42" s="18"/>
      <c r="G42" s="18"/>
      <c r="H42" s="18"/>
      <c r="I42" s="18"/>
      <c r="J42" s="63"/>
      <c r="L42" s="21"/>
      <c r="M42" s="18"/>
      <c r="N42" s="18"/>
      <c r="O42" s="18"/>
      <c r="P42" s="18"/>
      <c r="Q42" s="18"/>
      <c r="R42" s="63"/>
      <c r="T42" s="21"/>
      <c r="U42" s="18"/>
      <c r="V42" s="18"/>
      <c r="W42" s="18"/>
      <c r="X42" s="18"/>
      <c r="Y42" s="18"/>
      <c r="Z42" s="63"/>
      <c r="AB42" s="21"/>
      <c r="AC42" s="18"/>
      <c r="AD42" s="18"/>
      <c r="AE42" s="18"/>
      <c r="AF42" s="18"/>
      <c r="AG42" s="18"/>
      <c r="AH42" s="63"/>
      <c r="AJ42" s="21"/>
      <c r="AK42" s="18"/>
      <c r="AL42" s="18"/>
      <c r="AM42" s="18"/>
      <c r="AN42" s="18"/>
      <c r="AO42" s="18"/>
      <c r="AP42" s="63"/>
    </row>
    <row r="43" spans="1:42" ht="12.75" customHeight="1">
      <c r="A43" s="104">
        <v>0.3</v>
      </c>
      <c r="B43" s="98" t="s">
        <v>48</v>
      </c>
      <c r="C43" s="101" t="str">
        <f>CONCATENATE(C315," ",A43," ",D315,F315,H315)</f>
        <v>(Activo corriente - Pasivo corriente) - (   0,3  * Oferta) = SCT</v>
      </c>
      <c r="D43" s="64" t="s">
        <v>49</v>
      </c>
      <c r="E43" s="18"/>
      <c r="F43" s="59">
        <f>+F37-F38</f>
        <v>3569788000</v>
      </c>
      <c r="G43" s="18"/>
      <c r="H43" s="95">
        <f>+(F43)-(F45*F44)</f>
        <v>3528388000</v>
      </c>
      <c r="I43" s="18"/>
      <c r="J43" s="91" t="str">
        <f>IF(H43&gt;=0,"CUMPLE","NO CUMPLE")</f>
        <v>CUMPLE</v>
      </c>
      <c r="L43" s="64" t="s">
        <v>49</v>
      </c>
      <c r="M43" s="18"/>
      <c r="N43" s="59">
        <f>+N37-N38</f>
        <v>1816862000</v>
      </c>
      <c r="O43" s="18"/>
      <c r="P43" s="95">
        <f>+(N43)-(N45*N44)</f>
        <v>1799654872.1</v>
      </c>
      <c r="Q43" s="18"/>
      <c r="R43" s="91" t="str">
        <f>IF(P43&gt;=0,"CUMPLE","NO CUMPLE")</f>
        <v>CUMPLE</v>
      </c>
      <c r="T43" s="64" t="s">
        <v>49</v>
      </c>
      <c r="U43" s="18"/>
      <c r="V43" s="59">
        <f>+V37-V38</f>
        <v>853034411</v>
      </c>
      <c r="W43" s="18"/>
      <c r="X43" s="95">
        <f>+(V43)-(V45*V44)</f>
        <v>707423615</v>
      </c>
      <c r="Y43" s="18"/>
      <c r="Z43" s="91" t="str">
        <f>IF(X43&gt;=0,"CUMPLE","NO CUMPLE")</f>
        <v>CUMPLE</v>
      </c>
      <c r="AB43" s="64" t="s">
        <v>49</v>
      </c>
      <c r="AC43" s="18"/>
      <c r="AD43" s="59">
        <f>+AD37-AD38</f>
        <v>2685388450</v>
      </c>
      <c r="AE43" s="18"/>
      <c r="AF43" s="95">
        <f>+(AD43)-(AD45*AD44)</f>
        <v>2662650512.8</v>
      </c>
      <c r="AG43" s="18"/>
      <c r="AH43" s="91" t="str">
        <f>IF(AF43&gt;=0,"CUMPLE","NO CUMPLE")</f>
        <v>CUMPLE</v>
      </c>
      <c r="AJ43" s="64" t="s">
        <v>49</v>
      </c>
      <c r="AK43" s="18"/>
      <c r="AL43" s="59">
        <f>+AL37-AL38</f>
        <v>1071109000</v>
      </c>
      <c r="AM43" s="18"/>
      <c r="AN43" s="95">
        <f>+(AL43)-(AL45*AL44)</f>
        <v>1024570612</v>
      </c>
      <c r="AO43" s="18"/>
      <c r="AP43" s="91" t="str">
        <f>IF(AN43&gt;=0,"CUMPLE","NO CUMPLE")</f>
        <v>CUMPLE</v>
      </c>
    </row>
    <row r="44" spans="1:42" ht="12.75">
      <c r="A44" s="104"/>
      <c r="B44" s="99"/>
      <c r="C44" s="101"/>
      <c r="D44" s="65" t="str">
        <f>+$B$17</f>
        <v>Oferta</v>
      </c>
      <c r="E44" s="18"/>
      <c r="F44" s="66">
        <f>IF($B17="Presupuesto",$C$17,J3)</f>
        <v>138000000</v>
      </c>
      <c r="G44" s="18"/>
      <c r="H44" s="96"/>
      <c r="I44" s="18"/>
      <c r="J44" s="92"/>
      <c r="L44" s="65" t="str">
        <f>+$B$17</f>
        <v>Oferta</v>
      </c>
      <c r="M44" s="18"/>
      <c r="N44" s="66">
        <f>IF($B17="Presupuesto",$C$17,R3)</f>
        <v>57357093</v>
      </c>
      <c r="O44" s="18"/>
      <c r="P44" s="96"/>
      <c r="Q44" s="18"/>
      <c r="R44" s="92"/>
      <c r="T44" s="65" t="str">
        <f>+$B$17</f>
        <v>Oferta</v>
      </c>
      <c r="U44" s="18"/>
      <c r="V44" s="66">
        <f>IF($B17="Presupuesto",$C$17,Z3)</f>
        <v>485369320</v>
      </c>
      <c r="W44" s="18"/>
      <c r="X44" s="96"/>
      <c r="Y44" s="18"/>
      <c r="Z44" s="92"/>
      <c r="AB44" s="65" t="str">
        <f>+$B$17</f>
        <v>Oferta</v>
      </c>
      <c r="AC44" s="18"/>
      <c r="AD44" s="66">
        <f>IF($B17="Presupuesto",$C$17,AH3)</f>
        <v>75793124</v>
      </c>
      <c r="AE44" s="18"/>
      <c r="AF44" s="96"/>
      <c r="AG44" s="18"/>
      <c r="AH44" s="92"/>
      <c r="AJ44" s="65" t="str">
        <f>+$B$17</f>
        <v>Oferta</v>
      </c>
      <c r="AK44" s="18"/>
      <c r="AL44" s="66">
        <f>IF($B17="Presupuesto",$C$17,AP3)</f>
        <v>155127960</v>
      </c>
      <c r="AM44" s="18"/>
      <c r="AN44" s="96"/>
      <c r="AO44" s="18"/>
      <c r="AP44" s="92"/>
    </row>
    <row r="45" spans="1:42" ht="13.5" thickBot="1">
      <c r="A45" s="104"/>
      <c r="B45" s="100"/>
      <c r="C45" s="101"/>
      <c r="D45" s="67" t="s">
        <v>50</v>
      </c>
      <c r="E45" s="18"/>
      <c r="F45" s="68">
        <f>+$A$43</f>
        <v>0.3</v>
      </c>
      <c r="G45" s="18"/>
      <c r="H45" s="97"/>
      <c r="I45" s="18"/>
      <c r="J45" s="93"/>
      <c r="L45" s="67" t="s">
        <v>50</v>
      </c>
      <c r="M45" s="18"/>
      <c r="N45" s="68">
        <f>+$A$43</f>
        <v>0.3</v>
      </c>
      <c r="O45" s="18"/>
      <c r="P45" s="97"/>
      <c r="Q45" s="18"/>
      <c r="R45" s="93"/>
      <c r="T45" s="67" t="s">
        <v>50</v>
      </c>
      <c r="U45" s="18"/>
      <c r="V45" s="68">
        <f>+$A$43</f>
        <v>0.3</v>
      </c>
      <c r="W45" s="18"/>
      <c r="X45" s="97"/>
      <c r="Y45" s="18"/>
      <c r="Z45" s="93"/>
      <c r="AB45" s="67" t="s">
        <v>50</v>
      </c>
      <c r="AC45" s="18"/>
      <c r="AD45" s="68">
        <f>+$A$43</f>
        <v>0.3</v>
      </c>
      <c r="AE45" s="18"/>
      <c r="AF45" s="97"/>
      <c r="AG45" s="18"/>
      <c r="AH45" s="93"/>
      <c r="AJ45" s="67" t="s">
        <v>50</v>
      </c>
      <c r="AK45" s="18"/>
      <c r="AL45" s="68">
        <f>+$A$43</f>
        <v>0.3</v>
      </c>
      <c r="AM45" s="18"/>
      <c r="AN45" s="97"/>
      <c r="AO45" s="18"/>
      <c r="AP45" s="93"/>
    </row>
    <row r="46" spans="1:42" ht="12.75">
      <c r="A46" s="62"/>
      <c r="B46" s="69"/>
      <c r="C46" s="70"/>
      <c r="D46" s="21"/>
      <c r="E46" s="18"/>
      <c r="F46" s="71"/>
      <c r="G46" s="18"/>
      <c r="H46" s="72"/>
      <c r="I46" s="18"/>
      <c r="J46" s="73"/>
      <c r="L46" s="21"/>
      <c r="M46" s="18"/>
      <c r="N46" s="71"/>
      <c r="O46" s="18"/>
      <c r="P46" s="72"/>
      <c r="Q46" s="18"/>
      <c r="R46" s="73"/>
      <c r="T46" s="21"/>
      <c r="U46" s="18"/>
      <c r="V46" s="71"/>
      <c r="W46" s="18"/>
      <c r="X46" s="72"/>
      <c r="Y46" s="18"/>
      <c r="Z46" s="73"/>
      <c r="AB46" s="21"/>
      <c r="AC46" s="18"/>
      <c r="AD46" s="71"/>
      <c r="AE46" s="18"/>
      <c r="AF46" s="72"/>
      <c r="AG46" s="18"/>
      <c r="AH46" s="73"/>
      <c r="AJ46" s="21"/>
      <c r="AK46" s="18"/>
      <c r="AL46" s="71"/>
      <c r="AM46" s="18"/>
      <c r="AN46" s="72"/>
      <c r="AO46" s="18"/>
      <c r="AP46" s="73"/>
    </row>
    <row r="47" spans="1:42" ht="13.5" thickBot="1">
      <c r="A47" s="62"/>
      <c r="B47" s="21"/>
      <c r="C47" s="55"/>
      <c r="D47" s="21"/>
      <c r="E47" s="18"/>
      <c r="F47" s="18"/>
      <c r="G47" s="18"/>
      <c r="H47" s="18"/>
      <c r="I47" s="18"/>
      <c r="J47" s="55"/>
      <c r="L47" s="21"/>
      <c r="M47" s="18"/>
      <c r="N47" s="18"/>
      <c r="O47" s="18"/>
      <c r="P47" s="18"/>
      <c r="Q47" s="18"/>
      <c r="R47" s="55"/>
      <c r="T47" s="21"/>
      <c r="U47" s="18"/>
      <c r="V47" s="18"/>
      <c r="W47" s="18"/>
      <c r="X47" s="18"/>
      <c r="Y47" s="18"/>
      <c r="Z47" s="55"/>
      <c r="AB47" s="21"/>
      <c r="AC47" s="18"/>
      <c r="AD47" s="18"/>
      <c r="AE47" s="18"/>
      <c r="AF47" s="18"/>
      <c r="AG47" s="18"/>
      <c r="AH47" s="55"/>
      <c r="AJ47" s="21"/>
      <c r="AK47" s="18"/>
      <c r="AL47" s="18"/>
      <c r="AM47" s="18"/>
      <c r="AN47" s="18"/>
      <c r="AO47" s="18"/>
      <c r="AP47" s="55"/>
    </row>
    <row r="48" spans="1:42" ht="15" customHeight="1">
      <c r="A48" s="102">
        <v>0.83</v>
      </c>
      <c r="B48" s="98" t="s">
        <v>51</v>
      </c>
      <c r="C48" s="101" t="str">
        <f>CONCATENATE("(",A48,C316,D316,F316)</f>
        <v>(0,83XOferta)  = &lt; RP</v>
      </c>
      <c r="D48" s="74" t="s">
        <v>50</v>
      </c>
      <c r="E48" s="18"/>
      <c r="F48" s="75">
        <f>+$A48</f>
        <v>0.83</v>
      </c>
      <c r="G48" s="18"/>
      <c r="H48" s="103">
        <f>F52-(F50*F48)</f>
        <v>5745972000</v>
      </c>
      <c r="I48" s="18"/>
      <c r="J48" s="91" t="str">
        <f>IF((F$50*F$48)&lt;=F$52,"CUMPLE","NO CUMPLE")</f>
        <v>CUMPLE</v>
      </c>
      <c r="L48" s="74" t="s">
        <v>50</v>
      </c>
      <c r="M48" s="18"/>
      <c r="N48" s="76">
        <f>+$A48</f>
        <v>0.83</v>
      </c>
      <c r="O48" s="18"/>
      <c r="P48" s="94">
        <f>+N48-((N51/N52))</f>
        <v>0.7987328458041233</v>
      </c>
      <c r="Q48" s="18"/>
      <c r="R48" s="91" t="str">
        <f>IF(P48&gt;=0,"CUMPLE","NO CUMPLE")</f>
        <v>CUMPLE</v>
      </c>
      <c r="T48" s="74" t="s">
        <v>50</v>
      </c>
      <c r="U48" s="18"/>
      <c r="V48" s="76">
        <f>+$A48</f>
        <v>0.83</v>
      </c>
      <c r="W48" s="18"/>
      <c r="X48" s="94">
        <f>+V48-((V51/V52))</f>
        <v>0.152523744887184</v>
      </c>
      <c r="Y48" s="18"/>
      <c r="Z48" s="91" t="str">
        <f>IF(X48&gt;=0,"CUMPLE","NO CUMPLE")</f>
        <v>CUMPLE</v>
      </c>
      <c r="AB48" s="74" t="s">
        <v>50</v>
      </c>
      <c r="AC48" s="18"/>
      <c r="AD48" s="76">
        <f>+$A48</f>
        <v>0.83</v>
      </c>
      <c r="AE48" s="18"/>
      <c r="AF48" s="94">
        <f>+AD48-((AD51/AD52))</f>
        <v>0.8168921518121407</v>
      </c>
      <c r="AG48" s="18"/>
      <c r="AH48" s="91" t="str">
        <f>IF(AF48&gt;=0,"CUMPLE","NO CUMPLE")</f>
        <v>CUMPLE</v>
      </c>
      <c r="AJ48" s="74" t="s">
        <v>50</v>
      </c>
      <c r="AK48" s="18"/>
      <c r="AL48" s="76">
        <f>+$A48</f>
        <v>0.83</v>
      </c>
      <c r="AM48" s="18"/>
      <c r="AN48" s="94">
        <f>+AL48-((AL51/AL52))</f>
        <v>0.7249565478826487</v>
      </c>
      <c r="AO48" s="18"/>
      <c r="AP48" s="91" t="str">
        <f>IF(AN48&gt;=0,"CUMPLE","NO CUMPLE")</f>
        <v>CUMPLE</v>
      </c>
    </row>
    <row r="49" spans="1:42" ht="15" customHeight="1">
      <c r="A49" s="102"/>
      <c r="B49" s="99"/>
      <c r="C49" s="101"/>
      <c r="D49" s="77" t="s">
        <v>52</v>
      </c>
      <c r="E49" s="18"/>
      <c r="F49" s="78">
        <f>+F6</f>
        <v>1</v>
      </c>
      <c r="G49" s="18"/>
      <c r="H49" s="103"/>
      <c r="I49" s="18"/>
      <c r="J49" s="92"/>
      <c r="L49" s="77" t="s">
        <v>52</v>
      </c>
      <c r="M49" s="18"/>
      <c r="N49" s="78">
        <f>+N6</f>
        <v>1</v>
      </c>
      <c r="O49" s="18"/>
      <c r="P49" s="94"/>
      <c r="Q49" s="18"/>
      <c r="R49" s="92"/>
      <c r="T49" s="77" t="s">
        <v>52</v>
      </c>
      <c r="U49" s="18"/>
      <c r="V49" s="78">
        <f>+V6</f>
        <v>1</v>
      </c>
      <c r="W49" s="18"/>
      <c r="X49" s="94"/>
      <c r="Y49" s="18"/>
      <c r="Z49" s="92"/>
      <c r="AB49" s="77" t="s">
        <v>52</v>
      </c>
      <c r="AC49" s="18"/>
      <c r="AD49" s="78">
        <f>+AD6</f>
        <v>1</v>
      </c>
      <c r="AE49" s="18"/>
      <c r="AF49" s="94"/>
      <c r="AG49" s="18"/>
      <c r="AH49" s="92"/>
      <c r="AJ49" s="77" t="s">
        <v>52</v>
      </c>
      <c r="AK49" s="18"/>
      <c r="AL49" s="78">
        <f>+AL6</f>
        <v>1</v>
      </c>
      <c r="AM49" s="18"/>
      <c r="AN49" s="94"/>
      <c r="AO49" s="18"/>
      <c r="AP49" s="92"/>
    </row>
    <row r="50" spans="1:42" ht="15" customHeight="1">
      <c r="A50" s="102"/>
      <c r="B50" s="99"/>
      <c r="C50" s="101"/>
      <c r="D50" s="79" t="str">
        <f>+D44</f>
        <v>Oferta</v>
      </c>
      <c r="E50" s="18"/>
      <c r="F50" s="80">
        <f>+F44</f>
        <v>138000000</v>
      </c>
      <c r="G50" s="18"/>
      <c r="H50" s="103"/>
      <c r="I50" s="18"/>
      <c r="J50" s="92"/>
      <c r="L50" s="79" t="str">
        <f>+L44</f>
        <v>Oferta</v>
      </c>
      <c r="M50" s="18"/>
      <c r="N50" s="80">
        <f>+N44</f>
        <v>57357093</v>
      </c>
      <c r="O50" s="18"/>
      <c r="P50" s="94"/>
      <c r="Q50" s="18"/>
      <c r="R50" s="92"/>
      <c r="T50" s="79" t="str">
        <f>+T44</f>
        <v>Oferta</v>
      </c>
      <c r="U50" s="18"/>
      <c r="V50" s="80">
        <f>+V44</f>
        <v>485369320</v>
      </c>
      <c r="W50" s="18"/>
      <c r="X50" s="94"/>
      <c r="Y50" s="18"/>
      <c r="Z50" s="92"/>
      <c r="AB50" s="79" t="str">
        <f>+AB44</f>
        <v>Oferta</v>
      </c>
      <c r="AC50" s="18"/>
      <c r="AD50" s="80">
        <f>+AD44</f>
        <v>75793124</v>
      </c>
      <c r="AE50" s="18"/>
      <c r="AF50" s="94"/>
      <c r="AG50" s="18"/>
      <c r="AH50" s="92"/>
      <c r="AJ50" s="79" t="str">
        <f>+AJ44</f>
        <v>Oferta</v>
      </c>
      <c r="AK50" s="18"/>
      <c r="AL50" s="80">
        <f>+AL44</f>
        <v>155127960</v>
      </c>
      <c r="AM50" s="18"/>
      <c r="AN50" s="94"/>
      <c r="AO50" s="18"/>
      <c r="AP50" s="92"/>
    </row>
    <row r="51" spans="1:42" ht="12.75">
      <c r="A51" s="102"/>
      <c r="B51" s="99"/>
      <c r="C51" s="101"/>
      <c r="D51" s="81" t="str">
        <f>CONCATENATE("Participación en ",D50)</f>
        <v>Participación en Oferta</v>
      </c>
      <c r="E51" s="18"/>
      <c r="F51" s="82">
        <f>+F49*F50</f>
        <v>138000000</v>
      </c>
      <c r="G51" s="18"/>
      <c r="H51" s="103"/>
      <c r="I51" s="18"/>
      <c r="J51" s="92"/>
      <c r="L51" s="81" t="str">
        <f>CONCATENATE("Participación en ",L50)</f>
        <v>Participación en Oferta</v>
      </c>
      <c r="M51" s="18"/>
      <c r="N51" s="82">
        <f>+N49*N50</f>
        <v>57357093</v>
      </c>
      <c r="O51" s="18"/>
      <c r="P51" s="94"/>
      <c r="Q51" s="18"/>
      <c r="R51" s="92"/>
      <c r="T51" s="81" t="str">
        <f>CONCATENATE("Participación en ",T50)</f>
        <v>Participación en Oferta</v>
      </c>
      <c r="U51" s="18"/>
      <c r="V51" s="82">
        <f>+V49*V50</f>
        <v>485369320</v>
      </c>
      <c r="W51" s="18"/>
      <c r="X51" s="94"/>
      <c r="Y51" s="18"/>
      <c r="Z51" s="92"/>
      <c r="AB51" s="81" t="str">
        <f>CONCATENATE("Participación en ",AB50)</f>
        <v>Participación en Oferta</v>
      </c>
      <c r="AC51" s="18"/>
      <c r="AD51" s="82">
        <f>+AD49*AD50</f>
        <v>75793124</v>
      </c>
      <c r="AE51" s="18"/>
      <c r="AF51" s="94"/>
      <c r="AG51" s="18"/>
      <c r="AH51" s="92"/>
      <c r="AJ51" s="81" t="str">
        <f>CONCATENATE("Participación en ",AJ50)</f>
        <v>Participación en Oferta</v>
      </c>
      <c r="AK51" s="18"/>
      <c r="AL51" s="82">
        <f>+AL49*AL50</f>
        <v>155127960</v>
      </c>
      <c r="AM51" s="18"/>
      <c r="AN51" s="94"/>
      <c r="AO51" s="18"/>
      <c r="AP51" s="92"/>
    </row>
    <row r="52" spans="1:42" ht="13.5" thickBot="1">
      <c r="A52" s="102"/>
      <c r="B52" s="100"/>
      <c r="C52" s="101"/>
      <c r="D52" s="83" t="s">
        <v>53</v>
      </c>
      <c r="E52" s="18"/>
      <c r="F52" s="84">
        <f>+F17-F19</f>
        <v>5860512000</v>
      </c>
      <c r="G52" s="18"/>
      <c r="H52" s="103"/>
      <c r="I52" s="18"/>
      <c r="J52" s="93"/>
      <c r="L52" s="83" t="s">
        <v>53</v>
      </c>
      <c r="M52" s="18"/>
      <c r="N52" s="84">
        <f>+N17-N19</f>
        <v>1834420000</v>
      </c>
      <c r="O52" s="18"/>
      <c r="P52" s="94"/>
      <c r="Q52" s="18"/>
      <c r="R52" s="93"/>
      <c r="T52" s="83" t="s">
        <v>53</v>
      </c>
      <c r="U52" s="18"/>
      <c r="V52" s="84">
        <f>+V17-V19</f>
        <v>716437390</v>
      </c>
      <c r="W52" s="18"/>
      <c r="X52" s="94"/>
      <c r="Y52" s="18"/>
      <c r="Z52" s="93"/>
      <c r="AB52" s="83" t="s">
        <v>53</v>
      </c>
      <c r="AC52" s="18"/>
      <c r="AD52" s="84">
        <f>+AD17-AD19</f>
        <v>5782270508</v>
      </c>
      <c r="AE52" s="18"/>
      <c r="AF52" s="94"/>
      <c r="AG52" s="18"/>
      <c r="AH52" s="93"/>
      <c r="AJ52" s="83" t="s">
        <v>53</v>
      </c>
      <c r="AK52" s="18"/>
      <c r="AL52" s="84">
        <f>+AL17-AL19</f>
        <v>1476798000</v>
      </c>
      <c r="AM52" s="18"/>
      <c r="AN52" s="94"/>
      <c r="AO52" s="18"/>
      <c r="AP52" s="93"/>
    </row>
    <row r="53" spans="1:42" ht="13.5" thickBot="1">
      <c r="A53" s="62"/>
      <c r="B53" s="45"/>
      <c r="C53" s="85"/>
      <c r="D53" s="45"/>
      <c r="E53" s="46"/>
      <c r="F53" s="46"/>
      <c r="G53" s="46"/>
      <c r="H53" s="46"/>
      <c r="I53" s="46"/>
      <c r="J53" s="85"/>
      <c r="L53" s="45"/>
      <c r="M53" s="46"/>
      <c r="N53" s="46"/>
      <c r="O53" s="46"/>
      <c r="P53" s="46"/>
      <c r="Q53" s="46"/>
      <c r="R53" s="85"/>
      <c r="T53" s="45"/>
      <c r="U53" s="46"/>
      <c r="V53" s="46"/>
      <c r="W53" s="46"/>
      <c r="X53" s="46"/>
      <c r="Y53" s="46"/>
      <c r="Z53" s="85"/>
      <c r="AB53" s="45"/>
      <c r="AC53" s="46"/>
      <c r="AD53" s="46"/>
      <c r="AE53" s="46"/>
      <c r="AF53" s="46"/>
      <c r="AG53" s="46"/>
      <c r="AH53" s="85"/>
      <c r="AJ53" s="45"/>
      <c r="AK53" s="46"/>
      <c r="AL53" s="46"/>
      <c r="AM53" s="46"/>
      <c r="AN53" s="46"/>
      <c r="AO53" s="46"/>
      <c r="AP53" s="85"/>
    </row>
    <row r="55" ht="12.75">
      <c r="C55" s="86"/>
    </row>
    <row r="313" ht="12.75">
      <c r="C313" s="87" t="s">
        <v>54</v>
      </c>
    </row>
    <row r="314" ht="12.75">
      <c r="C314" s="87" t="s">
        <v>55</v>
      </c>
    </row>
    <row r="315" spans="3:40" ht="12.75">
      <c r="C315" s="87" t="s">
        <v>65</v>
      </c>
      <c r="D315" t="s">
        <v>56</v>
      </c>
      <c r="F315" t="str">
        <f>+B17</f>
        <v>Oferta</v>
      </c>
      <c r="H315" t="s">
        <v>57</v>
      </c>
      <c r="L315" t="s">
        <v>56</v>
      </c>
      <c r="N315">
        <f>+J17</f>
        <v>0</v>
      </c>
      <c r="P315" t="s">
        <v>57</v>
      </c>
      <c r="T315" t="s">
        <v>56</v>
      </c>
      <c r="V315">
        <f>+R17</f>
        <v>0</v>
      </c>
      <c r="X315" t="s">
        <v>57</v>
      </c>
      <c r="AB315" t="s">
        <v>56</v>
      </c>
      <c r="AD315">
        <f>+Z17</f>
        <v>0</v>
      </c>
      <c r="AF315" t="s">
        <v>57</v>
      </c>
      <c r="AJ315" t="s">
        <v>56</v>
      </c>
      <c r="AL315">
        <f>+AH17</f>
        <v>0</v>
      </c>
      <c r="AN315" t="s">
        <v>57</v>
      </c>
    </row>
    <row r="316" spans="3:38" ht="12.75">
      <c r="C316" s="87" t="s">
        <v>58</v>
      </c>
      <c r="D316" t="str">
        <f>+F315</f>
        <v>Oferta</v>
      </c>
      <c r="F316" t="s">
        <v>59</v>
      </c>
      <c r="L316">
        <f>+N315</f>
        <v>0</v>
      </c>
      <c r="N316" t="s">
        <v>60</v>
      </c>
      <c r="T316">
        <f>+V315</f>
        <v>0</v>
      </c>
      <c r="V316" t="s">
        <v>60</v>
      </c>
      <c r="AB316">
        <f>+AD315</f>
        <v>0</v>
      </c>
      <c r="AD316" t="s">
        <v>60</v>
      </c>
      <c r="AJ316">
        <f>+AL315</f>
        <v>0</v>
      </c>
      <c r="AL316" t="s">
        <v>60</v>
      </c>
    </row>
    <row r="317" spans="3:40" ht="25.5">
      <c r="C317" s="87" t="s">
        <v>61</v>
      </c>
      <c r="D317" t="s">
        <v>62</v>
      </c>
      <c r="F317" t="str">
        <f>+F315</f>
        <v>Oferta</v>
      </c>
      <c r="H317" t="s">
        <v>63</v>
      </c>
      <c r="L317" t="s">
        <v>62</v>
      </c>
      <c r="N317">
        <f>+N315</f>
        <v>0</v>
      </c>
      <c r="P317" t="s">
        <v>63</v>
      </c>
      <c r="T317" t="s">
        <v>62</v>
      </c>
      <c r="V317">
        <f>+V315</f>
        <v>0</v>
      </c>
      <c r="X317" t="s">
        <v>63</v>
      </c>
      <c r="AB317" t="s">
        <v>62</v>
      </c>
      <c r="AD317">
        <f>+AD315</f>
        <v>0</v>
      </c>
      <c r="AF317" t="s">
        <v>63</v>
      </c>
      <c r="AJ317" t="s">
        <v>62</v>
      </c>
      <c r="AL317">
        <f>+AL315</f>
        <v>0</v>
      </c>
      <c r="AN317" t="s">
        <v>63</v>
      </c>
    </row>
    <row r="319" ht="12.75" customHeight="1"/>
    <row r="320" ht="12.75">
      <c r="C320" s="88"/>
    </row>
    <row r="321" ht="12.75">
      <c r="C321" s="89"/>
    </row>
    <row r="322" ht="12.75">
      <c r="C322" s="90"/>
    </row>
    <row r="324" ht="12.75" customHeight="1"/>
    <row r="325" ht="12.75">
      <c r="C325" s="88"/>
    </row>
    <row r="326" ht="12.75">
      <c r="C326" s="88"/>
    </row>
    <row r="327" ht="12.75">
      <c r="C327" s="89"/>
    </row>
    <row r="330" ht="12.75" customHeight="1"/>
    <row r="331" ht="12.75">
      <c r="C331" s="89"/>
    </row>
  </sheetData>
  <sheetProtection selectLockedCells="1"/>
  <mergeCells count="75">
    <mergeCell ref="AP40:AP41"/>
    <mergeCell ref="AN43:AN45"/>
    <mergeCell ref="AP43:AP45"/>
    <mergeCell ref="AN48:AN52"/>
    <mergeCell ref="AP48:AP52"/>
    <mergeCell ref="AH43:AH45"/>
    <mergeCell ref="AF48:AF52"/>
    <mergeCell ref="AH48:AH52"/>
    <mergeCell ref="AJ5:AP5"/>
    <mergeCell ref="AJ15:AL15"/>
    <mergeCell ref="AN15:AP15"/>
    <mergeCell ref="AJ35:AP35"/>
    <mergeCell ref="AN37:AN38"/>
    <mergeCell ref="AP37:AP38"/>
    <mergeCell ref="AN40:AN41"/>
    <mergeCell ref="AF37:AF38"/>
    <mergeCell ref="AH37:AH38"/>
    <mergeCell ref="AF40:AF41"/>
    <mergeCell ref="AH40:AH41"/>
    <mergeCell ref="AB5:AH5"/>
    <mergeCell ref="AB15:AD15"/>
    <mergeCell ref="AF15:AH15"/>
    <mergeCell ref="AB35:AH35"/>
    <mergeCell ref="T5:Z5"/>
    <mergeCell ref="T15:V15"/>
    <mergeCell ref="X15:Z15"/>
    <mergeCell ref="T35:Z35"/>
    <mergeCell ref="A1:D1"/>
    <mergeCell ref="A2:D2"/>
    <mergeCell ref="L5:R5"/>
    <mergeCell ref="L15:N15"/>
    <mergeCell ref="P15:R15"/>
    <mergeCell ref="D15:F15"/>
    <mergeCell ref="H15:J15"/>
    <mergeCell ref="D5:J5"/>
    <mergeCell ref="J40:J41"/>
    <mergeCell ref="P40:P41"/>
    <mergeCell ref="C37:C38"/>
    <mergeCell ref="C40:C41"/>
    <mergeCell ref="L35:R35"/>
    <mergeCell ref="R40:R41"/>
    <mergeCell ref="X37:X38"/>
    <mergeCell ref="Z37:Z38"/>
    <mergeCell ref="P37:P38"/>
    <mergeCell ref="R37:R38"/>
    <mergeCell ref="X40:X41"/>
    <mergeCell ref="Z40:Z41"/>
    <mergeCell ref="A43:A45"/>
    <mergeCell ref="B14:C14"/>
    <mergeCell ref="D35:J35"/>
    <mergeCell ref="H37:H38"/>
    <mergeCell ref="J37:J38"/>
    <mergeCell ref="B37:B38"/>
    <mergeCell ref="B40:B41"/>
    <mergeCell ref="H40:H41"/>
    <mergeCell ref="A37:A38"/>
    <mergeCell ref="A40:A41"/>
    <mergeCell ref="A48:A52"/>
    <mergeCell ref="B48:B52"/>
    <mergeCell ref="C48:C52"/>
    <mergeCell ref="H48:H52"/>
    <mergeCell ref="J48:J52"/>
    <mergeCell ref="B43:B45"/>
    <mergeCell ref="C43:C45"/>
    <mergeCell ref="X43:X45"/>
    <mergeCell ref="J43:J45"/>
    <mergeCell ref="H43:H45"/>
    <mergeCell ref="P43:P45"/>
    <mergeCell ref="R43:R45"/>
    <mergeCell ref="P48:P52"/>
    <mergeCell ref="R48:R52"/>
    <mergeCell ref="Z43:Z45"/>
    <mergeCell ref="X48:X52"/>
    <mergeCell ref="Z48:Z52"/>
    <mergeCell ref="AF43:AF45"/>
  </mergeCells>
  <conditionalFormatting sqref="J37:J38 J40:J41 J43:J45 J48:J52 R37:R38 R40:R41 R43:R45 R48:R52 Z37:Z38 Z40:Z41 Z43:Z45 AH37:AH38 AP37:AP38">
    <cfRule type="cellIs" priority="1" dxfId="0" operator="equal" stopIfTrue="1">
      <formula>"NO CUMPLE"</formula>
    </cfRule>
  </conditionalFormatting>
  <printOptions/>
  <pageMargins left="0.58" right="0.29" top="0.6299212598425197" bottom="0.54" header="0" footer="0"/>
  <pageSetup horizontalDpi="600" verticalDpi="600" orientation="landscape" paperSize="5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ppresupuesto3</dc:creator>
  <cp:keywords/>
  <dc:description/>
  <cp:lastModifiedBy>pvicerrec1</cp:lastModifiedBy>
  <cp:lastPrinted>2009-10-15T14:11:08Z</cp:lastPrinted>
  <dcterms:created xsi:type="dcterms:W3CDTF">2009-10-13T21:38:40Z</dcterms:created>
  <dcterms:modified xsi:type="dcterms:W3CDTF">2009-10-15T14:11:26Z</dcterms:modified>
  <cp:category/>
  <cp:version/>
  <cp:contentType/>
  <cp:contentStatus/>
</cp:coreProperties>
</file>