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1">'PARAMETROS'!$A$1:$I$39</definedName>
  </definedNames>
  <calcPr fullCalcOnLoad="1"/>
</workbook>
</file>

<file path=xl/sharedStrings.xml><?xml version="1.0" encoding="utf-8"?>
<sst xmlns="http://schemas.openxmlformats.org/spreadsheetml/2006/main" count="140" uniqueCount="74">
  <si>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</si>
  <si>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</si>
  <si>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</si>
  <si>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</si>
  <si>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</si>
  <si>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</si>
  <si>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</si>
  <si>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</si>
  <si>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</si>
  <si>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</si>
  <si>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</si>
  <si>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</si>
  <si>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</si>
  <si>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</si>
  <si>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</si>
  <si>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</si>
  <si>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</si>
  <si>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</si>
  <si>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</si>
  <si>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</si>
  <si>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</si>
  <si>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</si>
  <si>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</si>
  <si>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</si>
  <si>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</si>
  <si>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</si>
  <si>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</si>
  <si>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</si>
  <si>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</si>
  <si>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</si>
  <si>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</si>
  <si>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</si>
  <si>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</si>
  <si>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</si>
  <si>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</si>
  <si>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</si>
  <si>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ACTIVO CTE  -  PASIVO CTE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</si>
  <si>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</si>
  <si>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</si>
  <si>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</si>
  <si>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 xml:space="preserve">Activo corriente / Pasivo corriente &gt;= </t>
  </si>
  <si>
    <t xml:space="preserve">Pasivo total / Activo total  &lt;= </t>
  </si>
  <si>
    <t>PROPONENTE ------&gt;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</si>
  <si>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</si>
  <si>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</si>
  <si>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</si>
  <si>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</si>
  <si>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</si>
  <si>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</si>
  <si>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</si>
  <si>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</si>
  <si>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 xml:space="preserve"> - ((% Participacion X 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</si>
  <si>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</si>
  <si>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</si>
  <si>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</si>
  <si>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</si>
  <si>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</si>
  <si>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</si>
  <si>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ESTADOS FINANCIEROS  2008 3 FIRMAS</t>
  </si>
  <si>
    <t>ESTADOS FINANCIEROS  2007 3 FIRMAS</t>
  </si>
  <si>
    <t>CERTIFIC VIGENTE CONTADOR</t>
  </si>
  <si>
    <t xml:space="preserve">ESTADOS FINANCIEROS  2007 </t>
  </si>
  <si>
    <t>INVITACION DIRECTA  No.014 DE 2009</t>
  </si>
  <si>
    <t>BONUS BANCA DE INVERSION SA</t>
  </si>
  <si>
    <t>CARMEN SIRIA DELGADO</t>
  </si>
  <si>
    <t>MARIA MAGALY GARZON</t>
  </si>
  <si>
    <t>UT EQUITY INVESTMENT SA</t>
  </si>
  <si>
    <t>GUSTAVO TOSCANO MUÑOZ</t>
  </si>
  <si>
    <t>MARIELA BEDOYA HERNANDEZ</t>
  </si>
  <si>
    <t>UT ESCALLON MORALES &amp; A LTDA</t>
  </si>
  <si>
    <t>MARIA HELENA MAHECHA</t>
  </si>
  <si>
    <t>CARLOS ANTONIO CONVERS P.</t>
  </si>
  <si>
    <t>NO ESTAN LOS CERTIFICADOS</t>
  </si>
  <si>
    <t>NO ESTAN LOS CERTIFICADOS (SUBSANO)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</si>
</sst>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dd\-mm\-yy;@"/>
    <numFmt numFmtId="193" formatCode="[$-C0A]d\-mmm\-yy;@"/>
    <numFmt numFmtId="194" formatCode="[$-C0A]d\ &quot;de&quot;\ mmmm\ &quot;de&quot;\ yyyy;@"/>
    <numFmt numFmtId="195" formatCode="[$-240A]dddd\,\ dd&quot; de &quot;mmmm&quot; de &quot;yyyy"/>
    <numFmt numFmtId="196" formatCode="dd/mmm/yyyy"/>
  </numFmts>
  <fonts count="14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19" applyFont="1" applyBorder="1" applyAlignment="1">
      <alignment horizontal="center" vertical="center" wrapText="1"/>
    </xf>
    <xf numFmtId="9" fontId="1" fillId="0" borderId="0" xfId="19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20" xfId="0" applyNumberFormat="1" applyFill="1" applyBorder="1" applyAlignment="1">
      <alignment vertical="center"/>
    </xf>
    <xf numFmtId="3" fontId="0" fillId="5" borderId="21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4" borderId="25" xfId="19" applyNumberFormat="1" applyFill="1" applyBorder="1" applyAlignment="1">
      <alignment/>
    </xf>
    <xf numFmtId="0" fontId="5" fillId="5" borderId="18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9" fontId="0" fillId="4" borderId="20" xfId="19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3" fontId="5" fillId="5" borderId="13" xfId="0" applyNumberFormat="1" applyFont="1" applyFill="1" applyBorder="1" applyAlignment="1" applyProtection="1">
      <alignment/>
      <protection locked="0"/>
    </xf>
    <xf numFmtId="0" fontId="1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3" fontId="0" fillId="0" borderId="21" xfId="0" applyNumberFormat="1" applyFill="1" applyBorder="1" applyAlignment="1" applyProtection="1">
      <alignment/>
      <protection locked="0"/>
    </xf>
    <xf numFmtId="0" fontId="8" fillId="0" borderId="5" xfId="0" applyFont="1" applyBorder="1" applyAlignment="1">
      <alignment/>
    </xf>
    <xf numFmtId="9" fontId="0" fillId="5" borderId="6" xfId="19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5" borderId="1" xfId="19" applyFill="1" applyBorder="1" applyAlignment="1" applyProtection="1">
      <alignment/>
      <protection locked="0"/>
    </xf>
    <xf numFmtId="0" fontId="5" fillId="0" borderId="0" xfId="0" applyFont="1" applyAlignment="1">
      <alignment/>
    </xf>
    <xf numFmtId="14" fontId="0" fillId="5" borderId="6" xfId="19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9" fillId="3" borderId="0" xfId="19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4" fontId="0" fillId="0" borderId="6" xfId="19" applyNumberFormat="1" applyFont="1" applyFill="1" applyBorder="1" applyAlignment="1" applyProtection="1">
      <alignment/>
      <protection locked="0"/>
    </xf>
    <xf numFmtId="0" fontId="8" fillId="0" borderId="29" xfId="0" applyFont="1" applyBorder="1" applyAlignment="1">
      <alignment/>
    </xf>
    <xf numFmtId="9" fontId="0" fillId="5" borderId="29" xfId="19" applyFill="1" applyBorder="1" applyAlignment="1" applyProtection="1">
      <alignment/>
      <protection locked="0"/>
    </xf>
    <xf numFmtId="0" fontId="8" fillId="0" borderId="2" xfId="0" applyFont="1" applyBorder="1" applyAlignment="1">
      <alignment/>
    </xf>
    <xf numFmtId="9" fontId="0" fillId="5" borderId="4" xfId="19" applyFill="1" applyBorder="1" applyAlignment="1" applyProtection="1">
      <alignment/>
      <protection locked="0"/>
    </xf>
    <xf numFmtId="0" fontId="8" fillId="0" borderId="7" xfId="0" applyFont="1" applyBorder="1" applyAlignment="1">
      <alignment/>
    </xf>
    <xf numFmtId="14" fontId="0" fillId="0" borderId="9" xfId="19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8" xfId="0" applyNumberForma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176" fontId="0" fillId="0" borderId="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4">
      <selection activeCell="C16" sqref="C16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80" t="s">
        <v>8</v>
      </c>
      <c r="F2" s="80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48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48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48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27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10" sqref="C10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45</v>
      </c>
      <c r="H4" s="25" t="s">
        <v>43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76">
        <v>1</v>
      </c>
      <c r="I6" s="10"/>
    </row>
    <row r="7" spans="1:9" ht="11.25">
      <c r="A7" s="9"/>
      <c r="B7" s="24"/>
      <c r="C7" s="12"/>
      <c r="D7" s="75"/>
      <c r="E7" s="75"/>
      <c r="F7" s="17"/>
      <c r="G7" s="46"/>
      <c r="H7" s="77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76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77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76">
        <v>0.2</v>
      </c>
      <c r="I10" s="10"/>
    </row>
    <row r="11" spans="1:9" ht="11.25">
      <c r="A11" s="9"/>
      <c r="B11" s="24"/>
      <c r="C11" s="12"/>
      <c r="D11" s="75"/>
      <c r="E11" s="75"/>
      <c r="F11" s="17"/>
      <c r="G11" s="48"/>
      <c r="H11" s="77"/>
      <c r="I11" s="10"/>
    </row>
    <row r="12" spans="1:9" ht="22.5" customHeight="1">
      <c r="A12" s="9"/>
      <c r="B12" s="26"/>
      <c r="C12" s="3" t="s">
        <v>15</v>
      </c>
      <c r="D12" s="75"/>
      <c r="E12" s="75"/>
      <c r="F12" s="17"/>
      <c r="G12" s="48"/>
      <c r="H12" s="77"/>
      <c r="I12" s="10"/>
    </row>
    <row r="13" spans="1:9" ht="11.25">
      <c r="A13" s="9"/>
      <c r="B13" s="24"/>
      <c r="C13" s="12"/>
      <c r="D13" s="75"/>
      <c r="E13" s="75"/>
      <c r="F13" s="17"/>
      <c r="G13" s="48"/>
      <c r="H13" s="77"/>
      <c r="I13" s="10"/>
    </row>
    <row r="14" spans="1:9" ht="11.25">
      <c r="A14" s="9"/>
      <c r="B14" s="26">
        <v>4</v>
      </c>
      <c r="C14" s="4" t="s">
        <v>48</v>
      </c>
      <c r="D14" s="46">
        <v>1.4</v>
      </c>
      <c r="E14" s="46">
        <v>0.7</v>
      </c>
      <c r="F14" s="18">
        <v>0.5</v>
      </c>
      <c r="G14" s="46">
        <v>1.3</v>
      </c>
      <c r="H14" s="76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77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76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77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78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79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9"/>
  <sheetViews>
    <sheetView tabSelected="1" view="pageBreakPreview" zoomScaleNormal="90" zoomScaleSheetLayoutView="100" workbookViewId="0" topLeftCell="F1">
      <selection activeCell="P12" sqref="P12:R12"/>
    </sheetView>
  </sheetViews>
  <sheetFormatPr defaultColWidth="11.421875" defaultRowHeight="12.75"/>
  <cols>
    <col min="1" max="1" width="9.00390625" style="0" customWidth="1"/>
    <col min="2" max="2" width="16.421875" style="0" customWidth="1"/>
    <col min="3" max="3" width="31.00390625" style="0" customWidth="1"/>
    <col min="4" max="4" width="27.00390625" style="0" customWidth="1"/>
    <col min="5" max="5" width="3.421875" style="0" customWidth="1"/>
    <col min="6" max="6" width="14.8515625" style="0" customWidth="1"/>
    <col min="7" max="7" width="2.00390625" style="0" customWidth="1"/>
    <col min="8" max="8" width="14.57421875" style="0" customWidth="1"/>
    <col min="9" max="9" width="3.140625" style="0" customWidth="1"/>
    <col min="10" max="10" width="13.140625" style="0" customWidth="1"/>
    <col min="11" max="11" width="3.8515625" style="0" customWidth="1"/>
    <col min="12" max="12" width="32.421875" style="0" customWidth="1"/>
    <col min="13" max="13" width="4.00390625" style="0" bestFit="1" customWidth="1"/>
    <col min="14" max="14" width="14.00390625" style="0" customWidth="1"/>
    <col min="15" max="15" width="2.421875" style="0" customWidth="1"/>
    <col min="16" max="16" width="13.57421875" style="0" customWidth="1"/>
    <col min="17" max="17" width="2.421875" style="0" customWidth="1"/>
    <col min="18" max="18" width="16.28125" style="0" bestFit="1" customWidth="1"/>
    <col min="19" max="19" width="2.421875" style="0" customWidth="1"/>
    <col min="20" max="20" width="31.57421875" style="0" customWidth="1"/>
    <col min="21" max="21" width="4.00390625" style="0" bestFit="1" customWidth="1"/>
    <col min="22" max="22" width="14.00390625" style="0" customWidth="1"/>
    <col min="23" max="23" width="2.421875" style="0" customWidth="1"/>
    <col min="24" max="24" width="12.421875" style="0" customWidth="1"/>
    <col min="25" max="25" width="2.421875" style="0" customWidth="1"/>
    <col min="26" max="26" width="16.28125" style="0" bestFit="1" customWidth="1"/>
    <col min="27" max="27" width="2.421875" style="0" customWidth="1"/>
  </cols>
  <sheetData>
    <row r="1" spans="1:3" ht="18">
      <c r="A1" s="159" t="s">
        <v>62</v>
      </c>
      <c r="B1" s="159"/>
      <c r="C1" s="159"/>
    </row>
    <row r="2" spans="1:3" ht="30.75" customHeight="1">
      <c r="A2" s="158"/>
      <c r="B2" s="158"/>
      <c r="C2" s="158"/>
    </row>
    <row r="3" spans="8:26" ht="25.5">
      <c r="H3" s="86" t="str">
        <f>+$B$14</f>
        <v>Presupuesto Oficial</v>
      </c>
      <c r="J3" s="87">
        <f>IF($B$14="Presupuesto Oficial",$C$14,#REF!)</f>
        <v>280000000</v>
      </c>
      <c r="P3" s="86" t="str">
        <f>+$B$14</f>
        <v>Presupuesto Oficial</v>
      </c>
      <c r="R3" s="87">
        <f>IF($B$14="Presupuesto Oficial",$C$14,#REF!)</f>
        <v>280000000</v>
      </c>
      <c r="X3" s="86" t="str">
        <f>+$B$14</f>
        <v>Presupuesto Oficial</v>
      </c>
      <c r="Z3" s="87">
        <f>IF($B$14="Presupuesto Oficial",$C$14,#REF!)</f>
        <v>280000000</v>
      </c>
    </row>
    <row r="4" spans="4:22" ht="13.5" thickBot="1">
      <c r="D4" s="65" t="s">
        <v>42</v>
      </c>
      <c r="F4" s="74"/>
      <c r="L4" s="65"/>
      <c r="N4" s="74"/>
      <c r="T4" s="65"/>
      <c r="V4" s="74"/>
    </row>
    <row r="5" spans="4:26" ht="13.5" thickBot="1">
      <c r="D5" s="146" t="s">
        <v>63</v>
      </c>
      <c r="E5" s="147"/>
      <c r="F5" s="147"/>
      <c r="G5" s="139"/>
      <c r="H5" s="139"/>
      <c r="I5" s="139"/>
      <c r="J5" s="140"/>
      <c r="L5" s="138" t="s">
        <v>66</v>
      </c>
      <c r="M5" s="139"/>
      <c r="N5" s="139"/>
      <c r="O5" s="139"/>
      <c r="P5" s="139"/>
      <c r="Q5" s="139"/>
      <c r="R5" s="140"/>
      <c r="T5" s="138" t="s">
        <v>69</v>
      </c>
      <c r="U5" s="139"/>
      <c r="V5" s="139"/>
      <c r="W5" s="139"/>
      <c r="X5" s="139"/>
      <c r="Y5" s="139"/>
      <c r="Z5" s="140"/>
    </row>
    <row r="6" spans="4:22" ht="13.5" thickBot="1">
      <c r="D6" s="96" t="s">
        <v>38</v>
      </c>
      <c r="E6" s="97"/>
      <c r="F6" s="98">
        <v>1</v>
      </c>
      <c r="L6" s="113" t="s">
        <v>38</v>
      </c>
      <c r="N6" s="114">
        <v>0.5</v>
      </c>
      <c r="T6" s="115" t="s">
        <v>38</v>
      </c>
      <c r="U6" s="119"/>
      <c r="V6" s="116">
        <v>0.5</v>
      </c>
    </row>
    <row r="7" spans="1:22" ht="12.75">
      <c r="A7" s="132"/>
      <c r="B7" s="95"/>
      <c r="C7" s="95"/>
      <c r="D7" s="96" t="s">
        <v>58</v>
      </c>
      <c r="E7" s="97">
        <v>32</v>
      </c>
      <c r="F7" s="98"/>
      <c r="H7" s="99"/>
      <c r="L7" s="115" t="s">
        <v>58</v>
      </c>
      <c r="M7" s="119">
        <v>141</v>
      </c>
      <c r="N7" s="116"/>
      <c r="T7" s="115" t="s">
        <v>58</v>
      </c>
      <c r="U7" s="119">
        <v>161</v>
      </c>
      <c r="V7" s="116"/>
    </row>
    <row r="8" spans="1:22" ht="12.75">
      <c r="A8" s="132"/>
      <c r="B8" s="95"/>
      <c r="C8" s="95"/>
      <c r="D8" s="96" t="s">
        <v>61</v>
      </c>
      <c r="E8" s="97"/>
      <c r="F8" s="98"/>
      <c r="H8" s="99"/>
      <c r="I8" s="99"/>
      <c r="L8" s="93" t="s">
        <v>59</v>
      </c>
      <c r="M8" s="120"/>
      <c r="N8" s="94"/>
      <c r="T8" s="93" t="s">
        <v>59</v>
      </c>
      <c r="U8" s="120"/>
      <c r="V8" s="94"/>
    </row>
    <row r="9" spans="1:22" ht="12.75">
      <c r="A9" s="132"/>
      <c r="B9" s="95"/>
      <c r="C9" s="95"/>
      <c r="D9" s="96" t="s">
        <v>60</v>
      </c>
      <c r="E9" s="97"/>
      <c r="F9" s="98"/>
      <c r="H9" s="99"/>
      <c r="I9" s="99"/>
      <c r="L9" s="93" t="s">
        <v>60</v>
      </c>
      <c r="M9" s="120"/>
      <c r="N9" s="94"/>
      <c r="T9" s="93" t="s">
        <v>60</v>
      </c>
      <c r="U9" s="120"/>
      <c r="V9" s="94"/>
    </row>
    <row r="10" spans="1:24" ht="13.5" thickBot="1">
      <c r="A10" s="132"/>
      <c r="B10" s="95"/>
      <c r="C10" s="95"/>
      <c r="D10" s="96" t="s">
        <v>64</v>
      </c>
      <c r="E10" s="97">
        <v>49</v>
      </c>
      <c r="F10" s="100">
        <v>40045</v>
      </c>
      <c r="L10" s="93" t="s">
        <v>67</v>
      </c>
      <c r="M10" s="121"/>
      <c r="N10" s="112"/>
      <c r="P10" t="s">
        <v>73</v>
      </c>
      <c r="T10" s="93" t="s">
        <v>70</v>
      </c>
      <c r="U10" s="121"/>
      <c r="V10" s="112"/>
      <c r="X10" t="s">
        <v>72</v>
      </c>
    </row>
    <row r="11" spans="1:24" ht="13.5" thickBot="1">
      <c r="A11" s="73">
        <v>7</v>
      </c>
      <c r="B11" s="152" t="str">
        <f>CONCATENATE(C83,"  -  ",C84)</f>
        <v>Con anticipo sin restricciones.  -  Proveeduría de servicios.</v>
      </c>
      <c r="C11" s="153"/>
      <c r="D11" s="93" t="s">
        <v>65</v>
      </c>
      <c r="E11">
        <v>53</v>
      </c>
      <c r="F11" s="100">
        <v>40045</v>
      </c>
      <c r="L11" s="117" t="s">
        <v>68</v>
      </c>
      <c r="M11" s="122"/>
      <c r="N11" s="118"/>
      <c r="P11" t="s">
        <v>73</v>
      </c>
      <c r="T11" s="117" t="s">
        <v>71</v>
      </c>
      <c r="U11" s="122"/>
      <c r="V11" s="118"/>
      <c r="X11" t="s">
        <v>72</v>
      </c>
    </row>
    <row r="12" spans="1:26" ht="36.75" thickBot="1">
      <c r="A12" s="50" t="s">
        <v>34</v>
      </c>
      <c r="B12" s="67"/>
      <c r="C12" s="68"/>
      <c r="D12" s="133" t="s">
        <v>56</v>
      </c>
      <c r="E12" s="134"/>
      <c r="F12" s="135"/>
      <c r="H12" s="136"/>
      <c r="I12" s="136"/>
      <c r="J12" s="136"/>
      <c r="L12" s="133" t="str">
        <f>+D12</f>
        <v>BALANCE A DICIEMBRE 31 DE 2008</v>
      </c>
      <c r="M12" s="134"/>
      <c r="N12" s="135"/>
      <c r="P12" s="136"/>
      <c r="Q12" s="136"/>
      <c r="R12" s="136"/>
      <c r="T12" s="133" t="str">
        <f>+L12</f>
        <v>BALANCE A DICIEMBRE 31 DE 2008</v>
      </c>
      <c r="U12" s="134"/>
      <c r="V12" s="135"/>
      <c r="X12" s="137"/>
      <c r="Y12" s="137"/>
      <c r="Z12" s="137"/>
    </row>
    <row r="13" spans="1:26" ht="13.5" thickBot="1">
      <c r="A13" s="73" t="s">
        <v>55</v>
      </c>
      <c r="B13" s="67"/>
      <c r="C13" s="68"/>
      <c r="D13" s="55" t="s">
        <v>25</v>
      </c>
      <c r="F13" s="64">
        <v>456838000</v>
      </c>
      <c r="L13" s="55" t="s">
        <v>25</v>
      </c>
      <c r="N13" s="64">
        <v>4358964000</v>
      </c>
      <c r="T13" s="55" t="s">
        <v>25</v>
      </c>
      <c r="V13" s="64">
        <v>2115775527</v>
      </c>
      <c r="X13" s="101"/>
      <c r="Y13" s="101"/>
      <c r="Z13" s="101"/>
    </row>
    <row r="14" spans="1:26" ht="18.75" thickBot="1">
      <c r="A14" s="81" t="s">
        <v>37</v>
      </c>
      <c r="B14" s="88" t="str">
        <f>IF(A13="O","Oferta",IF(A13="","",IF(A13="p","Presupuesto Oficial")))</f>
        <v>Presupuesto Oficial</v>
      </c>
      <c r="C14" s="89">
        <v>280000000</v>
      </c>
      <c r="D14" s="55" t="s">
        <v>29</v>
      </c>
      <c r="F14" s="64">
        <v>471720000</v>
      </c>
      <c r="L14" s="55" t="s">
        <v>29</v>
      </c>
      <c r="N14" s="64">
        <v>4614517000</v>
      </c>
      <c r="T14" s="55" t="s">
        <v>29</v>
      </c>
      <c r="V14" s="64">
        <v>2498471966</v>
      </c>
      <c r="X14" s="101"/>
      <c r="Y14" s="101"/>
      <c r="Z14" s="101"/>
    </row>
    <row r="15" spans="1:26" ht="13.5" thickBot="1">
      <c r="A15" s="73">
        <v>5</v>
      </c>
      <c r="B15" s="67"/>
      <c r="C15" s="68"/>
      <c r="D15" s="55" t="s">
        <v>26</v>
      </c>
      <c r="F15" s="64">
        <v>93850000</v>
      </c>
      <c r="L15" s="55" t="s">
        <v>26</v>
      </c>
      <c r="N15" s="64">
        <v>1685796000</v>
      </c>
      <c r="T15" s="55" t="s">
        <v>26</v>
      </c>
      <c r="V15" s="64">
        <v>359370522</v>
      </c>
      <c r="X15" s="101"/>
      <c r="Y15" s="101"/>
      <c r="Z15" s="101"/>
    </row>
    <row r="16" spans="1:26" ht="27.75" thickBot="1">
      <c r="A16" s="81" t="s">
        <v>44</v>
      </c>
      <c r="D16" s="55" t="s">
        <v>30</v>
      </c>
      <c r="F16" s="64">
        <v>202830000</v>
      </c>
      <c r="L16" s="55" t="s">
        <v>30</v>
      </c>
      <c r="N16" s="64">
        <v>1785796000</v>
      </c>
      <c r="T16" s="55" t="s">
        <v>30</v>
      </c>
      <c r="V16" s="64">
        <v>1535731062</v>
      </c>
      <c r="X16" s="101"/>
      <c r="Y16" s="101"/>
      <c r="Z16" s="101"/>
    </row>
    <row r="17" spans="1:26" ht="13.5" thickBot="1">
      <c r="A17" s="73"/>
      <c r="B17" s="67"/>
      <c r="C17" s="68"/>
      <c r="D17" s="55" t="s">
        <v>57</v>
      </c>
      <c r="F17" s="92">
        <f>+F14-F16</f>
        <v>268890000</v>
      </c>
      <c r="I17" s="91"/>
      <c r="J17" s="103"/>
      <c r="L17" s="55" t="s">
        <v>57</v>
      </c>
      <c r="N17" s="92">
        <f>+N14-N16</f>
        <v>2828721000</v>
      </c>
      <c r="P17" s="105"/>
      <c r="Q17" s="106"/>
      <c r="R17" s="103"/>
      <c r="T17" s="55" t="s">
        <v>57</v>
      </c>
      <c r="V17" s="92">
        <f>+V14-V16</f>
        <v>962740904</v>
      </c>
      <c r="X17" s="101"/>
      <c r="Y17" s="102"/>
      <c r="Z17" s="103"/>
    </row>
    <row r="18" spans="4:22" ht="12.75">
      <c r="D18" s="65"/>
      <c r="F18" s="74"/>
      <c r="L18" s="65"/>
      <c r="N18" s="74"/>
      <c r="T18" s="65"/>
      <c r="V18" s="74"/>
    </row>
    <row r="19" spans="4:22" ht="12.75">
      <c r="D19" s="65"/>
      <c r="F19" s="74"/>
      <c r="L19" s="65"/>
      <c r="N19" s="74"/>
      <c r="T19" s="65"/>
      <c r="V19" s="74"/>
    </row>
    <row r="20" spans="4:22" ht="13.5" thickBot="1">
      <c r="D20" s="65" t="s">
        <v>42</v>
      </c>
      <c r="F20" s="74"/>
      <c r="L20" s="65"/>
      <c r="N20" s="74"/>
      <c r="T20" s="65"/>
      <c r="V20" s="74"/>
    </row>
    <row r="21" spans="2:26" ht="21.75" customHeight="1" thickBot="1">
      <c r="B21" s="66"/>
      <c r="C21" s="90"/>
      <c r="D21" s="138" t="str">
        <f>+D5</f>
        <v>BONUS BANCA DE INVERSION SA</v>
      </c>
      <c r="E21" s="139"/>
      <c r="F21" s="139"/>
      <c r="G21" s="139"/>
      <c r="H21" s="139"/>
      <c r="I21" s="139"/>
      <c r="J21" s="140"/>
      <c r="L21" s="138" t="str">
        <f>+L5</f>
        <v>UT EQUITY INVESTMENT SA</v>
      </c>
      <c r="M21" s="139"/>
      <c r="N21" s="139"/>
      <c r="O21" s="139"/>
      <c r="P21" s="139"/>
      <c r="Q21" s="139"/>
      <c r="R21" s="140"/>
      <c r="T21" s="138" t="str">
        <f>+T5</f>
        <v>UT ESCALLON MORALES &amp; A LTDA</v>
      </c>
      <c r="U21" s="139"/>
      <c r="V21" s="139"/>
      <c r="W21" s="139"/>
      <c r="X21" s="139"/>
      <c r="Y21" s="139"/>
      <c r="Z21" s="140"/>
    </row>
    <row r="22" spans="2:26" ht="13.5" thickBot="1">
      <c r="B22" s="67"/>
      <c r="C22" s="68"/>
      <c r="D22" s="66"/>
      <c r="E22" s="84"/>
      <c r="F22" s="84"/>
      <c r="G22" s="84"/>
      <c r="H22" s="84"/>
      <c r="I22" s="84"/>
      <c r="J22" s="85"/>
      <c r="L22" s="66"/>
      <c r="M22" s="84"/>
      <c r="N22" s="84"/>
      <c r="O22" s="84"/>
      <c r="P22" s="84"/>
      <c r="Q22" s="84"/>
      <c r="R22" s="85"/>
      <c r="T22" s="66"/>
      <c r="U22" s="84"/>
      <c r="V22" s="84"/>
      <c r="W22" s="84"/>
      <c r="X22" s="84"/>
      <c r="Y22" s="84"/>
      <c r="Z22" s="85"/>
    </row>
    <row r="23" spans="1:26" ht="12.75">
      <c r="A23" s="141">
        <v>2</v>
      </c>
      <c r="B23" s="156" t="s">
        <v>27</v>
      </c>
      <c r="C23" s="151" t="str">
        <f>CONCATENATE(C291,"  ",A23)</f>
        <v>Activo corriente / Pasivo corriente &gt;=   2</v>
      </c>
      <c r="D23" s="52" t="s">
        <v>25</v>
      </c>
      <c r="E23" s="49"/>
      <c r="F23" s="51">
        <f>+F13</f>
        <v>456838000</v>
      </c>
      <c r="G23" s="49"/>
      <c r="H23" s="154">
        <f>+F23/F24</f>
        <v>4.867746403835908</v>
      </c>
      <c r="I23" s="49"/>
      <c r="J23" s="155" t="str">
        <f>IF(F23="","",IF(H23&gt;=A23,"CUMPLE","NO CUMPLE"))</f>
        <v>CUMPLE</v>
      </c>
      <c r="L23" s="52" t="s">
        <v>25</v>
      </c>
      <c r="M23" s="49"/>
      <c r="N23" s="51">
        <f>+N13</f>
        <v>4358964000</v>
      </c>
      <c r="O23" s="49"/>
      <c r="P23" s="154">
        <f>+N23/N24</f>
        <v>2.5857007609461644</v>
      </c>
      <c r="Q23" s="49"/>
      <c r="R23" s="155" t="str">
        <f>IF(N23="","",IF(P23&gt;=A23,"CUMPLE","NO CUMPLE"))</f>
        <v>CUMPLE</v>
      </c>
      <c r="T23" s="52" t="s">
        <v>25</v>
      </c>
      <c r="U23" s="49"/>
      <c r="V23" s="51">
        <f>+V13</f>
        <v>2115775527</v>
      </c>
      <c r="W23" s="49"/>
      <c r="X23" s="154">
        <f>+V23/V24</f>
        <v>5.887448740161275</v>
      </c>
      <c r="Y23" s="49"/>
      <c r="Z23" s="155" t="str">
        <f>IF(V23="","",IF(X23&gt;=A23,"CUMPLE","NO CUMPLE"))</f>
        <v>CUMPLE</v>
      </c>
    </row>
    <row r="24" spans="1:26" ht="13.5" thickBot="1">
      <c r="A24" s="141" t="str">
        <f>VLOOKUP($A$11,COMBINACIONES!$B$4:$I$20,3,0)</f>
        <v>Proveeduría de servicios.</v>
      </c>
      <c r="B24" s="156"/>
      <c r="C24" s="151"/>
      <c r="D24" s="53" t="s">
        <v>26</v>
      </c>
      <c r="E24" s="49"/>
      <c r="F24" s="63">
        <f>+F15</f>
        <v>93850000</v>
      </c>
      <c r="G24" s="49"/>
      <c r="H24" s="154"/>
      <c r="I24" s="49"/>
      <c r="J24" s="155"/>
      <c r="L24" s="53" t="s">
        <v>26</v>
      </c>
      <c r="M24" s="49"/>
      <c r="N24" s="63">
        <f>+N15</f>
        <v>1685796000</v>
      </c>
      <c r="O24" s="49"/>
      <c r="P24" s="154"/>
      <c r="Q24" s="49"/>
      <c r="R24" s="155"/>
      <c r="T24" s="53" t="s">
        <v>26</v>
      </c>
      <c r="U24" s="49"/>
      <c r="V24" s="63">
        <f>+V15</f>
        <v>359370522</v>
      </c>
      <c r="W24" s="49"/>
      <c r="X24" s="154"/>
      <c r="Y24" s="49"/>
      <c r="Z24" s="155"/>
    </row>
    <row r="25" spans="1:26" ht="13.5" thickBot="1">
      <c r="A25" s="59"/>
      <c r="B25" s="67"/>
      <c r="C25" s="68"/>
      <c r="D25" s="67"/>
      <c r="E25" s="49"/>
      <c r="F25" s="49"/>
      <c r="G25" s="49"/>
      <c r="H25" s="49"/>
      <c r="I25" s="49"/>
      <c r="J25" s="69"/>
      <c r="L25" s="67"/>
      <c r="M25" s="49"/>
      <c r="N25" s="49"/>
      <c r="O25" s="49"/>
      <c r="P25" s="49"/>
      <c r="Q25" s="49"/>
      <c r="R25" s="69"/>
      <c r="T25" s="67"/>
      <c r="U25" s="49"/>
      <c r="V25" s="49"/>
      <c r="W25" s="49"/>
      <c r="X25" s="49"/>
      <c r="Y25" s="49"/>
      <c r="Z25" s="69"/>
    </row>
    <row r="26" spans="1:26" ht="12.75">
      <c r="A26" s="142">
        <v>0.5</v>
      </c>
      <c r="B26" s="156" t="s">
        <v>28</v>
      </c>
      <c r="C26" s="151" t="str">
        <f>CONCATENATE(C292,"  ",A26)</f>
        <v>Pasivo total / Activo total  &lt;=   0,5</v>
      </c>
      <c r="D26" s="52" t="s">
        <v>30</v>
      </c>
      <c r="E26" s="49"/>
      <c r="F26" s="51">
        <f>+F16</f>
        <v>202830000</v>
      </c>
      <c r="G26" s="49"/>
      <c r="H26" s="157">
        <f>+F26/F27</f>
        <v>0.44398670863632184</v>
      </c>
      <c r="I26" s="49"/>
      <c r="J26" s="155" t="str">
        <f>IF(F26="","",IF(H26&lt;=A26,"CUMPLE","NO CUMPLE"))</f>
        <v>CUMPLE</v>
      </c>
      <c r="L26" s="52" t="s">
        <v>30</v>
      </c>
      <c r="M26" s="49"/>
      <c r="N26" s="51">
        <f>+N16</f>
        <v>1785796000</v>
      </c>
      <c r="O26" s="49"/>
      <c r="P26" s="157">
        <f>+N26/N27</f>
        <v>0.386995215317226</v>
      </c>
      <c r="Q26" s="49"/>
      <c r="R26" s="155" t="str">
        <f>IF(N26="","",IF(P26&lt;=A26,"CUMPLE","NO CUMPLE"))</f>
        <v>CUMPLE</v>
      </c>
      <c r="T26" s="52" t="s">
        <v>30</v>
      </c>
      <c r="U26" s="49"/>
      <c r="V26" s="51">
        <f>+V16</f>
        <v>1535731062</v>
      </c>
      <c r="W26" s="49"/>
      <c r="X26" s="157">
        <f>+V26/V27</f>
        <v>0.6146681183133995</v>
      </c>
      <c r="Y26" s="49"/>
      <c r="Z26" s="155" t="str">
        <f>IF(V26="","",IF(X26&lt;=A26,"CUMPLE","NO CUMPLE"))</f>
        <v>NO CUMPLE</v>
      </c>
    </row>
    <row r="27" spans="1:26" ht="13.5" thickBot="1">
      <c r="A27" s="141" t="str">
        <f>VLOOKUP($A$11,COMBINACIONES!$B$4:$I$20,3,0)</f>
        <v>Proveeduría de servicios.</v>
      </c>
      <c r="B27" s="156"/>
      <c r="C27" s="151"/>
      <c r="D27" s="53" t="s">
        <v>29</v>
      </c>
      <c r="E27" s="49"/>
      <c r="F27" s="63">
        <f>+F13</f>
        <v>456838000</v>
      </c>
      <c r="G27" s="49"/>
      <c r="H27" s="157"/>
      <c r="I27" s="49"/>
      <c r="J27" s="155"/>
      <c r="L27" s="53" t="s">
        <v>29</v>
      </c>
      <c r="M27" s="49"/>
      <c r="N27" s="63">
        <f>+N14</f>
        <v>4614517000</v>
      </c>
      <c r="O27" s="49"/>
      <c r="P27" s="157"/>
      <c r="Q27" s="49"/>
      <c r="R27" s="155"/>
      <c r="T27" s="53" t="s">
        <v>29</v>
      </c>
      <c r="U27" s="49"/>
      <c r="V27" s="63">
        <f>+V14</f>
        <v>2498471966</v>
      </c>
      <c r="W27" s="49"/>
      <c r="X27" s="157"/>
      <c r="Y27" s="49"/>
      <c r="Z27" s="155"/>
    </row>
    <row r="28" spans="1:26" ht="13.5" thickBot="1">
      <c r="A28" s="59"/>
      <c r="B28" s="67"/>
      <c r="C28" s="68"/>
      <c r="D28" s="67"/>
      <c r="E28" s="49"/>
      <c r="F28" s="49"/>
      <c r="G28" s="49"/>
      <c r="H28" s="49"/>
      <c r="I28" s="49"/>
      <c r="J28" s="69"/>
      <c r="L28" s="67"/>
      <c r="M28" s="49"/>
      <c r="N28" s="49"/>
      <c r="O28" s="49"/>
      <c r="P28" s="49"/>
      <c r="Q28" s="49"/>
      <c r="R28" s="69"/>
      <c r="T28" s="67"/>
      <c r="U28" s="49"/>
      <c r="V28" s="49"/>
      <c r="W28" s="49"/>
      <c r="X28" s="49"/>
      <c r="Y28" s="49"/>
      <c r="Z28" s="69"/>
    </row>
    <row r="29" spans="1:26" ht="42" customHeight="1">
      <c r="A29" s="142">
        <v>1.0714285714285714</v>
      </c>
      <c r="B29" s="108" t="s">
        <v>35</v>
      </c>
      <c r="C29" s="131" t="str">
        <f>CONCATENATE(C293," ",A29," ",D293,F293,H293)</f>
        <v>(Activo corriente - Pasivo corriente) - (   1,07142857142857  * Presupuesto Oficial) = SCT</v>
      </c>
      <c r="D29" s="54" t="s">
        <v>36</v>
      </c>
      <c r="E29" s="49"/>
      <c r="F29" s="51">
        <f>+F23-F24</f>
        <v>362988000</v>
      </c>
      <c r="G29" s="49"/>
      <c r="H29" s="143">
        <f>+(F29)-(F31*F30)</f>
        <v>62988000</v>
      </c>
      <c r="I29" s="49"/>
      <c r="J29" s="148" t="str">
        <f>IF(H29&gt;=0,"CUMPLE","NO CUMPLE")</f>
        <v>CUMPLE</v>
      </c>
      <c r="L29" s="54" t="s">
        <v>36</v>
      </c>
      <c r="M29" s="49"/>
      <c r="N29" s="51">
        <f>+N23-N24</f>
        <v>2673168000</v>
      </c>
      <c r="O29" s="49"/>
      <c r="P29" s="143">
        <f>+(N29)-(N31*N30)</f>
        <v>2373168000</v>
      </c>
      <c r="Q29" s="49"/>
      <c r="R29" s="160" t="str">
        <f>IF(P29&gt;=0,"CUMPLE","NO CUMPLE")</f>
        <v>CUMPLE</v>
      </c>
      <c r="T29" s="54" t="s">
        <v>36</v>
      </c>
      <c r="U29" s="49"/>
      <c r="V29" s="51">
        <f>+V23-V24</f>
        <v>1756405005</v>
      </c>
      <c r="W29" s="49"/>
      <c r="X29" s="143">
        <f>+(V29)-(V31*V30)</f>
        <v>1456405005</v>
      </c>
      <c r="Y29" s="49"/>
      <c r="Z29" s="148" t="str">
        <f>IF(X29&gt;=0,"CUMPLE","NO CUMPLE")</f>
        <v>CUMPLE</v>
      </c>
    </row>
    <row r="30" spans="1:26" ht="12.75">
      <c r="A30" s="141"/>
      <c r="B30" s="110"/>
      <c r="C30" s="109"/>
      <c r="D30" s="71" t="str">
        <f>+$B$14</f>
        <v>Presupuesto Oficial</v>
      </c>
      <c r="E30" s="49"/>
      <c r="F30" s="72">
        <f>IF($B14="Presupuesto",$C$14,J3)</f>
        <v>280000000</v>
      </c>
      <c r="G30" s="49"/>
      <c r="H30" s="144"/>
      <c r="I30" s="49"/>
      <c r="J30" s="149"/>
      <c r="L30" s="71" t="str">
        <f>+$B$14</f>
        <v>Presupuesto Oficial</v>
      </c>
      <c r="M30" s="49"/>
      <c r="N30" s="72">
        <f>IF($B14="Presupuesto",$C$14,R3)</f>
        <v>280000000</v>
      </c>
      <c r="O30" s="49"/>
      <c r="P30" s="144"/>
      <c r="Q30" s="49"/>
      <c r="R30" s="161"/>
      <c r="T30" s="71" t="str">
        <f>+$B$14</f>
        <v>Presupuesto Oficial</v>
      </c>
      <c r="U30" s="49"/>
      <c r="V30" s="72">
        <f>IF($B14="Presupuesto",$C$14,Z3)</f>
        <v>280000000</v>
      </c>
      <c r="W30" s="49"/>
      <c r="X30" s="144"/>
      <c r="Y30" s="49"/>
      <c r="Z30" s="149"/>
    </row>
    <row r="31" spans="1:26" ht="13.5" thickBot="1">
      <c r="A31" s="107"/>
      <c r="B31" s="111"/>
      <c r="C31" s="109"/>
      <c r="D31" s="82" t="s">
        <v>39</v>
      </c>
      <c r="E31" s="49"/>
      <c r="F31" s="83">
        <f>+$A$29</f>
        <v>1.0714285714285714</v>
      </c>
      <c r="G31" s="49"/>
      <c r="H31" s="145"/>
      <c r="I31" s="49"/>
      <c r="J31" s="150"/>
      <c r="L31" s="82" t="s">
        <v>39</v>
      </c>
      <c r="M31" s="49"/>
      <c r="N31" s="83">
        <f>+$A$29</f>
        <v>1.0714285714285714</v>
      </c>
      <c r="O31" s="49"/>
      <c r="P31" s="145"/>
      <c r="Q31" s="49"/>
      <c r="R31" s="161"/>
      <c r="T31" s="82" t="s">
        <v>39</v>
      </c>
      <c r="U31" s="49"/>
      <c r="V31" s="83">
        <f>+$A$29</f>
        <v>1.0714285714285714</v>
      </c>
      <c r="W31" s="49"/>
      <c r="X31" s="145"/>
      <c r="Y31" s="49"/>
      <c r="Z31" s="149"/>
    </row>
    <row r="32" spans="1:26" ht="13.5" thickBot="1">
      <c r="A32" s="59"/>
      <c r="B32" s="128"/>
      <c r="C32" s="129"/>
      <c r="D32" s="123"/>
      <c r="E32" s="124"/>
      <c r="F32" s="125"/>
      <c r="G32" s="124"/>
      <c r="H32" s="126"/>
      <c r="I32" s="124"/>
      <c r="J32" s="127"/>
      <c r="L32" s="123"/>
      <c r="M32" s="124"/>
      <c r="N32" s="125"/>
      <c r="O32" s="124"/>
      <c r="P32" s="126"/>
      <c r="Q32" s="124"/>
      <c r="R32" s="127"/>
      <c r="T32" s="123"/>
      <c r="U32" s="124"/>
      <c r="V32" s="125"/>
      <c r="W32" s="124"/>
      <c r="X32" s="126"/>
      <c r="Y32" s="124"/>
      <c r="Z32" s="127"/>
    </row>
    <row r="34" ht="13.5" thickBot="1">
      <c r="F34" s="104"/>
    </row>
    <row r="35" spans="6:18" ht="13.5" thickBot="1">
      <c r="F35" s="104"/>
      <c r="L35" s="138" t="str">
        <f>CONCATENATE(L5,T5)</f>
        <v>UT EQUITY INVESTMENT SAUT ESCALLON MORALES &amp; A LTDA</v>
      </c>
      <c r="M35" s="139"/>
      <c r="N35" s="139"/>
      <c r="O35" s="139"/>
      <c r="P35" s="139"/>
      <c r="Q35" s="139"/>
      <c r="R35" s="140"/>
    </row>
    <row r="36" spans="12:18" ht="13.5" thickBot="1">
      <c r="L36" s="66"/>
      <c r="M36" s="84"/>
      <c r="N36" s="84"/>
      <c r="O36" s="84"/>
      <c r="P36" s="84"/>
      <c r="Q36" s="84"/>
      <c r="R36" s="85"/>
    </row>
    <row r="37" spans="12:18" ht="12.75">
      <c r="L37" s="52" t="s">
        <v>25</v>
      </c>
      <c r="M37" s="49"/>
      <c r="N37" s="51">
        <f>+N13+V13</f>
        <v>6474739527</v>
      </c>
      <c r="O37" s="49"/>
      <c r="P37" s="154">
        <f>+N37/N38</f>
        <v>3.1658740045618643</v>
      </c>
      <c r="Q37" s="49"/>
      <c r="R37" s="155" t="str">
        <f>IF(N37="","",IF(P37&gt;=A23,"CUMPLE","NO CUMPLE"))</f>
        <v>CUMPLE</v>
      </c>
    </row>
    <row r="38" spans="12:18" ht="13.5" thickBot="1">
      <c r="L38" s="53" t="s">
        <v>26</v>
      </c>
      <c r="M38" s="49"/>
      <c r="N38" s="63">
        <f>+N15+V15</f>
        <v>2045166522</v>
      </c>
      <c r="O38" s="49"/>
      <c r="P38" s="154"/>
      <c r="Q38" s="49"/>
      <c r="R38" s="155"/>
    </row>
    <row r="39" spans="12:18" ht="13.5" thickBot="1">
      <c r="L39" s="67"/>
      <c r="M39" s="49"/>
      <c r="N39" s="49"/>
      <c r="O39" s="49"/>
      <c r="P39" s="49"/>
      <c r="Q39" s="49"/>
      <c r="R39" s="69"/>
    </row>
    <row r="40" spans="12:18" ht="12.75">
      <c r="L40" s="52" t="s">
        <v>30</v>
      </c>
      <c r="M40" s="49"/>
      <c r="N40" s="51">
        <f>+N16+V16</f>
        <v>3321527062</v>
      </c>
      <c r="O40" s="49"/>
      <c r="P40" s="157">
        <f>+N40/N41</f>
        <v>0.46696642970723823</v>
      </c>
      <c r="Q40" s="49"/>
      <c r="R40" s="155" t="str">
        <f>IF(N40="","",IF(P40&lt;=A26,"CUMPLE","NO CUMPLE"))</f>
        <v>CUMPLE</v>
      </c>
    </row>
    <row r="41" spans="12:18" ht="13.5" thickBot="1">
      <c r="L41" s="53" t="s">
        <v>29</v>
      </c>
      <c r="M41" s="49"/>
      <c r="N41" s="63">
        <f>+N14+V14</f>
        <v>7112988966</v>
      </c>
      <c r="O41" s="49"/>
      <c r="P41" s="157"/>
      <c r="Q41" s="49"/>
      <c r="R41" s="155"/>
    </row>
    <row r="42" spans="12:18" ht="13.5" thickBot="1">
      <c r="L42" s="67"/>
      <c r="M42" s="49"/>
      <c r="N42" s="49"/>
      <c r="O42" s="49"/>
      <c r="P42" s="49"/>
      <c r="Q42" s="49"/>
      <c r="R42" s="69"/>
    </row>
    <row r="43" spans="12:18" ht="12.75">
      <c r="L43" s="54" t="s">
        <v>36</v>
      </c>
      <c r="M43" s="49"/>
      <c r="N43" s="51">
        <f>+N37-N38</f>
        <v>4429573005</v>
      </c>
      <c r="O43" s="49"/>
      <c r="P43" s="143">
        <f>+(N43)-(N45*N44)</f>
        <v>4129573005</v>
      </c>
      <c r="Q43" s="49"/>
      <c r="R43" s="148" t="str">
        <f>IF(P43&gt;=0,"CUMPLE","NO CUMPLE")</f>
        <v>CUMPLE</v>
      </c>
    </row>
    <row r="44" spans="12:18" ht="12.75">
      <c r="L44" s="71" t="str">
        <f>+$B$14</f>
        <v>Presupuesto Oficial</v>
      </c>
      <c r="M44" s="49"/>
      <c r="N44" s="72">
        <f>+R3</f>
        <v>280000000</v>
      </c>
      <c r="O44" s="49"/>
      <c r="P44" s="144"/>
      <c r="Q44" s="49"/>
      <c r="R44" s="149"/>
    </row>
    <row r="45" spans="12:18" ht="13.5" thickBot="1">
      <c r="L45" s="82" t="s">
        <v>39</v>
      </c>
      <c r="M45" s="49"/>
      <c r="N45" s="83">
        <f>+$A$29</f>
        <v>1.0714285714285714</v>
      </c>
      <c r="O45" s="49"/>
      <c r="P45" s="145"/>
      <c r="Q45" s="49"/>
      <c r="R45" s="150"/>
    </row>
    <row r="46" spans="12:18" ht="12.75">
      <c r="L46" s="67"/>
      <c r="M46" s="49"/>
      <c r="N46" s="58"/>
      <c r="O46" s="49"/>
      <c r="P46" s="57"/>
      <c r="Q46" s="49"/>
      <c r="R46" s="70"/>
    </row>
    <row r="47" spans="12:18" ht="13.5" thickBot="1">
      <c r="L47" s="123"/>
      <c r="M47" s="124"/>
      <c r="N47" s="124"/>
      <c r="O47" s="124"/>
      <c r="P47" s="124"/>
      <c r="Q47" s="124"/>
      <c r="R47" s="130"/>
    </row>
    <row r="83" ht="12.75">
      <c r="C83" t="str">
        <f>VLOOKUP($A$11,COMBINACIONES!$B$4:$D$20,2,0)</f>
        <v>Con anticipo sin restricciones.</v>
      </c>
    </row>
    <row r="84" ht="12.75">
      <c r="C84" t="str">
        <f>VLOOKUP($A$11,COMBINACIONES!$B$4:$D$20,3,0)</f>
        <v>Proveeduría de servicios.</v>
      </c>
    </row>
    <row r="291" ht="25.5">
      <c r="C291" s="60" t="s">
        <v>40</v>
      </c>
    </row>
    <row r="292" ht="12.75">
      <c r="C292" s="60" t="s">
        <v>41</v>
      </c>
    </row>
    <row r="293" spans="3:8" ht="25.5">
      <c r="C293" s="60" t="s">
        <v>47</v>
      </c>
      <c r="D293" t="s">
        <v>49</v>
      </c>
      <c r="F293" t="str">
        <f>+B14</f>
        <v>Presupuesto Oficial</v>
      </c>
      <c r="H293" t="s">
        <v>50</v>
      </c>
    </row>
    <row r="294" spans="3:6" ht="12.75">
      <c r="C294" s="60" t="s">
        <v>51</v>
      </c>
      <c r="D294" t="str">
        <f>+F293</f>
        <v>Presupuesto Oficial</v>
      </c>
      <c r="F294" t="s">
        <v>52</v>
      </c>
    </row>
    <row r="295" spans="3:8" ht="38.25">
      <c r="C295" s="60" t="s">
        <v>46</v>
      </c>
      <c r="D295" t="s">
        <v>53</v>
      </c>
      <c r="F295" t="str">
        <f>+F293</f>
        <v>Presupuesto Oficial</v>
      </c>
      <c r="H295" t="s">
        <v>54</v>
      </c>
    </row>
    <row r="297" ht="12.75" customHeight="1"/>
    <row r="298" ht="12.75">
      <c r="C298" s="62"/>
    </row>
    <row r="299" ht="12.75">
      <c r="C299" s="61"/>
    </row>
    <row r="300" ht="12.75">
      <c r="C300" s="56"/>
    </row>
    <row r="302" ht="12.75" customHeight="1"/>
    <row r="303" ht="12.75">
      <c r="C303" s="62"/>
    </row>
    <row r="304" ht="12.75">
      <c r="C304" s="62"/>
    </row>
    <row r="305" ht="12.75">
      <c r="C305" s="61"/>
    </row>
    <row r="308" ht="12.75" customHeight="1"/>
    <row r="309" ht="12.75">
      <c r="C309" s="61"/>
    </row>
  </sheetData>
  <sheetProtection selectLockedCells="1"/>
  <mergeCells count="47">
    <mergeCell ref="P40:P41"/>
    <mergeCell ref="R40:R41"/>
    <mergeCell ref="P43:P45"/>
    <mergeCell ref="R43:R45"/>
    <mergeCell ref="L35:R35"/>
    <mergeCell ref="P37:P38"/>
    <mergeCell ref="R37:R38"/>
    <mergeCell ref="P29:P31"/>
    <mergeCell ref="R29:R31"/>
    <mergeCell ref="X29:X31"/>
    <mergeCell ref="Z29:Z31"/>
    <mergeCell ref="A2:C2"/>
    <mergeCell ref="A1:C1"/>
    <mergeCell ref="L21:R21"/>
    <mergeCell ref="T21:Z21"/>
    <mergeCell ref="X23:X24"/>
    <mergeCell ref="Z23:Z24"/>
    <mergeCell ref="X26:X27"/>
    <mergeCell ref="Z26:Z27"/>
    <mergeCell ref="P23:P24"/>
    <mergeCell ref="R23:R24"/>
    <mergeCell ref="P26:P27"/>
    <mergeCell ref="R26:R27"/>
    <mergeCell ref="H23:H24"/>
    <mergeCell ref="J23:J24"/>
    <mergeCell ref="B23:B24"/>
    <mergeCell ref="B26:B27"/>
    <mergeCell ref="H26:H27"/>
    <mergeCell ref="J26:J27"/>
    <mergeCell ref="A23:A24"/>
    <mergeCell ref="A26:A27"/>
    <mergeCell ref="H29:H31"/>
    <mergeCell ref="D5:J5"/>
    <mergeCell ref="J29:J31"/>
    <mergeCell ref="C23:C24"/>
    <mergeCell ref="C26:C27"/>
    <mergeCell ref="A29:A30"/>
    <mergeCell ref="B11:C11"/>
    <mergeCell ref="D21:J21"/>
    <mergeCell ref="T12:V12"/>
    <mergeCell ref="X12:Z12"/>
    <mergeCell ref="L5:R5"/>
    <mergeCell ref="T5:Z5"/>
    <mergeCell ref="D12:F12"/>
    <mergeCell ref="H12:J12"/>
    <mergeCell ref="L12:N12"/>
    <mergeCell ref="P12:R12"/>
  </mergeCells>
  <printOptions/>
  <pageMargins left="0.58" right="0.29" top="0.6299212598425197" bottom="0.54" header="0" footer="0"/>
  <pageSetup horizontalDpi="600" verticalDpi="600" orientation="landscape" scale="7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PVicerrec11</cp:lastModifiedBy>
  <cp:lastPrinted>2009-04-21T21:07:20Z</cp:lastPrinted>
  <dcterms:created xsi:type="dcterms:W3CDTF">2008-12-23T19:33:14Z</dcterms:created>
  <dcterms:modified xsi:type="dcterms:W3CDTF">2009-10-01T21:04:02Z</dcterms:modified>
  <cp:category/>
  <cp:version/>
  <cp:contentType/>
  <cp:contentStatus/>
</cp:coreProperties>
</file>