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435" activeTab="2"/>
  </bookViews>
  <sheets>
    <sheet name="COMBINACIONES" sheetId="1" r:id="rId1"/>
    <sheet name="PARAMETROS" sheetId="2" r:id="rId2"/>
    <sheet name="EVALUA-1" sheetId="3" r:id="rId3"/>
    <sheet name="Hoja3" sheetId="4" r:id="rId4"/>
  </sheets>
  <definedNames>
    <definedName name="_xlnm.Print_Area" localSheetId="0">'COMBINACIONES'!$A$1:$I$21</definedName>
    <definedName name="_xlnm.Print_Area" localSheetId="2">'EVALUA-1'!$A$1:$AA$321</definedName>
    <definedName name="_xlnm.Print_Area" localSheetId="1">'PARAMETROS'!$A$1:$H$39</definedName>
    <definedName name="_xlnm.Print_Titles" localSheetId="2">'EVALUA-1'!$1:$2</definedName>
  </definedNames>
  <calcPr fullCalcOnLoad="1"/>
</workbook>
</file>

<file path=xl/sharedStrings.xml><?xml version="1.0" encoding="utf-8"?>
<sst xmlns="http://schemas.openxmlformats.org/spreadsheetml/2006/main" count="210" uniqueCount="108">
  <si>
    <t>Con anticipo sin restricciones.</t>
  </si>
  <si>
    <t>Con anticipo cuenta compartida.</t>
  </si>
  <si>
    <t>Pago contra entrega.</t>
  </si>
  <si>
    <t>Proveeduría de bienes.</t>
  </si>
  <si>
    <t>Proveeduría de servicios.</t>
  </si>
  <si>
    <t>NRO</t>
  </si>
  <si>
    <t>PAGO</t>
  </si>
  <si>
    <t>OBJETO</t>
  </si>
  <si>
    <t>Razon Corriente</t>
  </si>
  <si>
    <t>Endeudamiento</t>
  </si>
  <si>
    <t>Soporte con Capital de Trabajo</t>
  </si>
  <si>
    <t>Soporte con Relación Patrimonial</t>
  </si>
  <si>
    <t>CLASE</t>
  </si>
  <si>
    <t>FORMA DE PAGO</t>
  </si>
  <si>
    <t>OBJETO CONTRACTUAL</t>
  </si>
  <si>
    <t>COMBINACION 1 - 4</t>
  </si>
  <si>
    <t>COMBINACION 1 - 5</t>
  </si>
  <si>
    <t>COMBINACION 1 - 6</t>
  </si>
  <si>
    <t>COMBINACION 2 - 4</t>
  </si>
  <si>
    <t>COMBINACION 2 - 5</t>
  </si>
  <si>
    <t>COMBINACION 2 - 6</t>
  </si>
  <si>
    <t>COMBINACION 3 - 4</t>
  </si>
  <si>
    <t>COMBINACION 3 - 5</t>
  </si>
  <si>
    <t>COMBINACION 3 - 6</t>
  </si>
  <si>
    <t>ACTIVO CORRIENTE</t>
  </si>
  <si>
    <t>PASIVO CORRIENTE</t>
  </si>
  <si>
    <t>RAZON CORRIENTE</t>
  </si>
  <si>
    <t>ENDEUDAMIENTO</t>
  </si>
  <si>
    <t>ACTIVO TOTAL</t>
  </si>
  <si>
    <t>PASIVO TOTAL</t>
  </si>
  <si>
    <t xml:space="preserve">Riesgo de 0,6 a 0,8 </t>
  </si>
  <si>
    <t xml:space="preserve">Riesgo de 50% a 10% </t>
  </si>
  <si>
    <t xml:space="preserve">Riesgo de 1,6 a 1,2 </t>
  </si>
  <si>
    <t>COMBINACION NUMERO 1 a 9</t>
  </si>
  <si>
    <t>SOPORTE CON CAPITAL DE TRABAJO  (SCT)</t>
  </si>
  <si>
    <t>SOPORTE CON RELACIÓN PATRIMONIAL (SRP)</t>
  </si>
  <si>
    <t>ACTIVO CTE  -  PASIVO CTE</t>
  </si>
  <si>
    <t>% Participacion</t>
  </si>
  <si>
    <r>
      <t xml:space="preserve">  O</t>
    </r>
    <r>
      <rPr>
        <sz val="7"/>
        <rFont val="Arial"/>
        <family val="0"/>
      </rPr>
      <t xml:space="preserve">ferta / </t>
    </r>
    <r>
      <rPr>
        <sz val="7"/>
        <color indexed="12"/>
        <rFont val="Arial"/>
        <family val="2"/>
      </rPr>
      <t>P</t>
    </r>
    <r>
      <rPr>
        <sz val="7"/>
        <rFont val="Arial"/>
        <family val="0"/>
      </rPr>
      <t>resupuesto</t>
    </r>
  </si>
  <si>
    <t>% Participación</t>
  </si>
  <si>
    <t>Indicador</t>
  </si>
  <si>
    <t>Patrimonio</t>
  </si>
  <si>
    <t xml:space="preserve">Activo corriente / Pasivo corriente &gt;= </t>
  </si>
  <si>
    <t xml:space="preserve">Pasivo total / Activo total  &lt;= </t>
  </si>
  <si>
    <t>PROPONENTE ------&gt;</t>
  </si>
  <si>
    <t>Valor Ofertado</t>
  </si>
  <si>
    <t>Duracion Contrato (Meses)</t>
  </si>
  <si>
    <t xml:space="preserve">Riesgo de 1,5 a 1,0 </t>
  </si>
  <si>
    <t xml:space="preserve">( (Ventas netas año 1 + ventas netas año 2)  /  2 ) -  (( 12/Meses Contrato) X </t>
  </si>
  <si>
    <r>
      <t xml:space="preserve">(Activo corriente - Pasivo corriente) - (  </t>
    </r>
  </si>
  <si>
    <t>Adecuación y Remodelación</t>
  </si>
  <si>
    <t xml:space="preserve"> * </t>
  </si>
  <si>
    <t>) = SCT</t>
  </si>
  <si>
    <t>) / Patrimonio ) = SRP</t>
  </si>
  <si>
    <t xml:space="preserve">  X  % Participacion X </t>
  </si>
  <si>
    <t>)   =   S.H.I</t>
  </si>
  <si>
    <t>P</t>
  </si>
  <si>
    <t>BALANCE A DICIEMBRE 31 DE 2008</t>
  </si>
  <si>
    <t>TOTAL PATRIM LIQUIDO</t>
  </si>
  <si>
    <t>ESTADOS FINANCIEROS  2008 3 FIRMAS</t>
  </si>
  <si>
    <t>ESTADOS FINANCIEROS  2007 3 FIRMAS</t>
  </si>
  <si>
    <t>CERTIFIC VIGENTE CONTADOR</t>
  </si>
  <si>
    <t>CERTIFIC VIGENTE REV FISCAL</t>
  </si>
  <si>
    <t>TOTAL PATRIMONIO 2008</t>
  </si>
  <si>
    <t>DECLARACION RENTA 2007</t>
  </si>
  <si>
    <t>X</t>
  </si>
  <si>
    <t>)  = &lt; RP</t>
  </si>
  <si>
    <t>CERTIF. REVISOR FISCAL</t>
  </si>
  <si>
    <t xml:space="preserve">OBSERVACION : </t>
  </si>
  <si>
    <r>
      <t xml:space="preserve">Con anticipo sin restricciones - </t>
    </r>
    <r>
      <rPr>
        <b/>
        <sz val="10"/>
        <color indexed="10"/>
        <rFont val="Arial"/>
        <family val="2"/>
      </rPr>
      <t>Proveeduria de Servicios</t>
    </r>
  </si>
  <si>
    <t>NUMERO DEL PROCESO</t>
  </si>
  <si>
    <t>o</t>
  </si>
  <si>
    <t>JOTEVE Y COMPAÑÍA LTDA.</t>
  </si>
  <si>
    <t>INGENIERIA SEGURIDAD Y CALIDAD LTDA. ISC AMBIENTAL</t>
  </si>
  <si>
    <t>ESTADO DE RESULTADOS</t>
  </si>
  <si>
    <t>ENE- DIC/0N</t>
  </si>
  <si>
    <t>Costo Operacionales</t>
  </si>
  <si>
    <t>Gasto Operacional Ventas &amp; Admón</t>
  </si>
  <si>
    <t>Utilidad Operativa</t>
  </si>
  <si>
    <t>Egresos no Operacionales</t>
  </si>
  <si>
    <t>Ingresos no Operacionales</t>
  </si>
  <si>
    <t>Utilidad Antes de Impuestos</t>
  </si>
  <si>
    <t>Impuestos</t>
  </si>
  <si>
    <t>Utilidad Neta</t>
  </si>
  <si>
    <t>BALANCE</t>
  </si>
  <si>
    <t>31/12/200N</t>
  </si>
  <si>
    <t>Caja, Bancos y Equivalentes</t>
  </si>
  <si>
    <t>Inventario</t>
  </si>
  <si>
    <t>Otros Activos Corrientes</t>
  </si>
  <si>
    <t>Total Activos Corrientes</t>
  </si>
  <si>
    <t>Inversiones</t>
  </si>
  <si>
    <t xml:space="preserve">Planta, Instalaciones y Equipo (Neto)  </t>
  </si>
  <si>
    <t>Otros Activos de Largo Plazo</t>
  </si>
  <si>
    <t>Total Activos</t>
  </si>
  <si>
    <t>Obligaciones Financieras (Corriente)</t>
  </si>
  <si>
    <t>Otros Pasivos (corrientes)</t>
  </si>
  <si>
    <t>Total Pasivo Corriente</t>
  </si>
  <si>
    <t>Cuentas por Pagar (Largo Plazo)</t>
  </si>
  <si>
    <t>Total Pasivo</t>
  </si>
  <si>
    <t>METALICAS JEP S.A.</t>
  </si>
  <si>
    <t>METALICAS JEP S.A - JOTEVE Y CIA LTDA. - ISC AMBIENTAL</t>
  </si>
  <si>
    <t>LOS EF LOS FIRMA EL GERENTE JORGE E PARRADO BOLAÑOS, 
JULIO ROMERO P CONTADOR 
FABIOLA PIZARRO DE MEDINA REVISOR FISCAL</t>
  </si>
  <si>
    <t xml:space="preserve">DENTRO DE LOS PAPELES HAY UN CERRIFICADO  DIGIGAL DE CONTADORES DEL 9-2-2010 DEJOSE VISENTE HILTON PARDO QUE TIENE UN </t>
  </si>
  <si>
    <t>JESUS E HERNADEZ GERENTE 
 MARIA ISABEL GARON CONTADOR
NO FIRMA EL REVISOR FISCAL</t>
  </si>
  <si>
    <t>REPRESENTANTES LEGALES
ALFONSO GLADYS DIA DE ALFONSO DUARTE JOSE VICENTE</t>
  </si>
  <si>
    <t>FABIOLA PIZARRO D MEDINA REVISORFISCAL DICTAMEN DEL MARZO 9 DE 2009 Y CETIFICADO SI FIRMADO</t>
  </si>
  <si>
    <t>FIRMADOS: REP LEGAL GLADYS DIAZ DE ALFONSO, REP LEGAL 
FABIOLA BURGOS VALBUENA CONTADOR
FALTA EF FIRMADOS POR EL REVISOR FISCAL</t>
  </si>
  <si>
    <t>REPRESENTANTES SEGÚN CAMARA DE COMERCIO:
KARMEN GARRIDO Y HERNANDEZ GONALEZ JESUS EUDORO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</si>
</sst>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[$-C0A]dddd\,\ dd&quot; de &quot;mmmm&quot; de &quot;yyyy"/>
    <numFmt numFmtId="192" formatCode="[$-C0A]d\-mmm\-yy;@"/>
    <numFmt numFmtId="193" formatCode="#,##0.00;[Red]#,##0.00"/>
    <numFmt numFmtId="194" formatCode="#,##0.00\ _€"/>
    <numFmt numFmtId="195" formatCode="_-* #,##0.0\ _€_-;\-* #,##0.0\ _€_-;_-* &quot;-&quot;??\ _€_-;_-@_-"/>
    <numFmt numFmtId="196" formatCode="[$-240A]dddd\,\ dd&quot; de &quot;mmmm&quot; de &quot;yyyy"/>
  </numFmts>
  <fonts count="26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Verdana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 Narrow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9" fontId="1" fillId="0" borderId="1" xfId="21" applyFont="1" applyBorder="1" applyAlignment="1">
      <alignment horizontal="center" vertical="center" wrapText="1"/>
    </xf>
    <xf numFmtId="9" fontId="1" fillId="0" borderId="0" xfId="2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3" fontId="0" fillId="4" borderId="16" xfId="0" applyNumberFormat="1" applyFill="1" applyBorder="1" applyAlignment="1">
      <alignment/>
    </xf>
    <xf numFmtId="9" fontId="0" fillId="4" borderId="18" xfId="0" applyNumberFormat="1" applyFill="1" applyBorder="1" applyAlignment="1">
      <alignment/>
    </xf>
    <xf numFmtId="3" fontId="0" fillId="4" borderId="15" xfId="0" applyNumberFormat="1" applyFill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0" fillId="4" borderId="18" xfId="0" applyNumberFormat="1" applyFill="1" applyBorder="1" applyAlignment="1">
      <alignment/>
    </xf>
    <xf numFmtId="0" fontId="9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" fontId="0" fillId="4" borderId="16" xfId="0" applyNumberForma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3" fontId="0" fillId="0" borderId="22" xfId="0" applyNumberFormat="1" applyBorder="1" applyAlignment="1">
      <alignment/>
    </xf>
    <xf numFmtId="3" fontId="0" fillId="4" borderId="22" xfId="21" applyNumberFormat="1" applyFill="1" applyBorder="1" applyAlignment="1">
      <alignment/>
    </xf>
    <xf numFmtId="3" fontId="0" fillId="4" borderId="18" xfId="21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2" fontId="1" fillId="0" borderId="0" xfId="0" applyNumberFormat="1" applyFont="1" applyBorder="1" applyAlignment="1">
      <alignment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/>
    </xf>
    <xf numFmtId="9" fontId="0" fillId="4" borderId="16" xfId="2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8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3" fontId="5" fillId="5" borderId="1" xfId="0" applyNumberFormat="1" applyFont="1" applyFill="1" applyBorder="1" applyAlignment="1" applyProtection="1">
      <alignment/>
      <protection/>
    </xf>
    <xf numFmtId="0" fontId="0" fillId="6" borderId="12" xfId="0" applyFill="1" applyBorder="1" applyAlignment="1">
      <alignment horizontal="center"/>
    </xf>
    <xf numFmtId="0" fontId="10" fillId="0" borderId="4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Fill="1" applyBorder="1" applyAlignment="1">
      <alignment/>
    </xf>
    <xf numFmtId="3" fontId="0" fillId="7" borderId="25" xfId="0" applyNumberFormat="1" applyFill="1" applyBorder="1" applyAlignment="1" applyProtection="1">
      <alignment/>
      <protection locked="0"/>
    </xf>
    <xf numFmtId="3" fontId="0" fillId="7" borderId="26" xfId="0" applyNumberFormat="1" applyFill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9" fontId="0" fillId="7" borderId="27" xfId="21" applyFont="1" applyFill="1" applyBorder="1" applyAlignment="1" applyProtection="1">
      <alignment/>
      <protection locked="0"/>
    </xf>
    <xf numFmtId="14" fontId="0" fillId="7" borderId="27" xfId="21" applyNumberFormat="1" applyFont="1" applyFill="1" applyBorder="1" applyAlignment="1" applyProtection="1">
      <alignment/>
      <protection locked="0"/>
    </xf>
    <xf numFmtId="9" fontId="0" fillId="7" borderId="27" xfId="2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9" fontId="0" fillId="0" borderId="6" xfId="21" applyFill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9" fontId="0" fillId="7" borderId="28" xfId="2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3" fontId="0" fillId="0" borderId="26" xfId="0" applyNumberForma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2" fontId="0" fillId="4" borderId="15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7" borderId="25" xfId="0" applyNumberFormat="1" applyFill="1" applyBorder="1" applyAlignment="1" applyProtection="1">
      <alignment/>
      <protection locked="0"/>
    </xf>
    <xf numFmtId="4" fontId="0" fillId="0" borderId="26" xfId="0" applyNumberFormat="1" applyFill="1" applyBorder="1" applyAlignment="1" applyProtection="1">
      <alignment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20" fillId="0" borderId="17" xfId="0" applyFont="1" applyBorder="1" applyAlignment="1" applyProtection="1">
      <alignment horizontal="center"/>
      <protection locked="0"/>
    </xf>
    <xf numFmtId="14" fontId="20" fillId="8" borderId="17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85" fontId="20" fillId="0" borderId="0" xfId="0" applyNumberFormat="1" applyFont="1" applyAlignment="1" applyProtection="1">
      <alignment horizontal="center"/>
      <protection locked="0"/>
    </xf>
    <xf numFmtId="0" fontId="21" fillId="9" borderId="1" xfId="0" applyFont="1" applyFill="1" applyBorder="1" applyAlignment="1" applyProtection="1">
      <alignment/>
      <protection locked="0"/>
    </xf>
    <xf numFmtId="3" fontId="21" fillId="0" borderId="1" xfId="0" applyNumberFormat="1" applyFont="1" applyBorder="1" applyAlignment="1" applyProtection="1">
      <alignment/>
      <protection locked="0"/>
    </xf>
    <xf numFmtId="0" fontId="21" fillId="0" borderId="1" xfId="0" applyFont="1" applyBorder="1" applyAlignment="1" applyProtection="1">
      <alignment/>
      <protection locked="0"/>
    </xf>
    <xf numFmtId="3" fontId="21" fillId="7" borderId="1" xfId="0" applyNumberFormat="1" applyFont="1" applyFill="1" applyBorder="1" applyAlignment="1" applyProtection="1">
      <alignment/>
      <protection locked="0"/>
    </xf>
    <xf numFmtId="0" fontId="20" fillId="0" borderId="1" xfId="0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/>
      <protection/>
    </xf>
    <xf numFmtId="0" fontId="21" fillId="0" borderId="1" xfId="0" applyFont="1" applyFill="1" applyBorder="1" applyAlignment="1" applyProtection="1">
      <alignment/>
      <protection locked="0"/>
    </xf>
    <xf numFmtId="3" fontId="21" fillId="8" borderId="1" xfId="0" applyNumberFormat="1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vertical="top"/>
      <protection locked="0"/>
    </xf>
    <xf numFmtId="3" fontId="23" fillId="0" borderId="0" xfId="0" applyNumberFormat="1" applyFont="1" applyAlignment="1" applyProtection="1">
      <alignment/>
      <protection locked="0"/>
    </xf>
    <xf numFmtId="4" fontId="21" fillId="0" borderId="0" xfId="0" applyNumberFormat="1" applyFont="1" applyAlignment="1" applyProtection="1">
      <alignment/>
      <protection locked="0"/>
    </xf>
    <xf numFmtId="3" fontId="21" fillId="5" borderId="1" xfId="0" applyNumberFormat="1" applyFont="1" applyFill="1" applyBorder="1" applyAlignment="1" applyProtection="1">
      <alignment/>
      <protection locked="0"/>
    </xf>
    <xf numFmtId="3" fontId="21" fillId="3" borderId="1" xfId="0" applyNumberFormat="1" applyFont="1" applyFill="1" applyBorder="1" applyAlignment="1" applyProtection="1">
      <alignment/>
      <protection locked="0"/>
    </xf>
    <xf numFmtId="3" fontId="20" fillId="3" borderId="1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 applyProtection="1">
      <alignment/>
      <protection locked="0"/>
    </xf>
    <xf numFmtId="3" fontId="20" fillId="0" borderId="14" xfId="0" applyNumberFormat="1" applyFont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/>
    </xf>
    <xf numFmtId="9" fontId="24" fillId="4" borderId="18" xfId="0" applyNumberFormat="1" applyFont="1" applyFill="1" applyBorder="1" applyAlignment="1">
      <alignment/>
    </xf>
    <xf numFmtId="3" fontId="19" fillId="7" borderId="35" xfId="0" applyNumberFormat="1" applyFont="1" applyFill="1" applyBorder="1" applyAlignment="1" applyProtection="1">
      <alignment/>
      <protection locked="0"/>
    </xf>
    <xf numFmtId="0" fontId="19" fillId="7" borderId="17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5" fillId="10" borderId="36" xfId="0" applyFont="1" applyFill="1" applyBorder="1" applyAlignment="1" applyProtection="1">
      <alignment horizontal="center"/>
      <protection locked="0"/>
    </xf>
    <xf numFmtId="0" fontId="5" fillId="10" borderId="37" xfId="0" applyFont="1" applyFill="1" applyBorder="1" applyAlignment="1" applyProtection="1">
      <alignment horizontal="center"/>
      <protection locked="0"/>
    </xf>
    <xf numFmtId="0" fontId="5" fillId="10" borderId="38" xfId="0" applyFont="1" applyFill="1" applyBorder="1" applyAlignment="1" applyProtection="1">
      <alignment horizontal="center"/>
      <protection locked="0"/>
    </xf>
    <xf numFmtId="3" fontId="0" fillId="8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176" fontId="9" fillId="3" borderId="0" xfId="0" applyNumberFormat="1" applyFont="1" applyFill="1" applyAlignment="1">
      <alignment horizontal="center" vertical="center" wrapText="1"/>
    </xf>
    <xf numFmtId="9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9" fontId="9" fillId="3" borderId="0" xfId="21" applyFont="1" applyFill="1" applyBorder="1" applyAlignment="1">
      <alignment horizontal="center" vertical="center" wrapText="1"/>
    </xf>
    <xf numFmtId="2" fontId="9" fillId="3" borderId="0" xfId="0" applyNumberFormat="1" applyFont="1" applyFill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76" fontId="0" fillId="0" borderId="1" xfId="0" applyNumberForma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10" borderId="2" xfId="0" applyFont="1" applyFill="1" applyBorder="1" applyAlignment="1" applyProtection="1">
      <alignment horizontal="center"/>
      <protection locked="0"/>
    </xf>
    <xf numFmtId="0" fontId="5" fillId="10" borderId="3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8" fillId="0" borderId="12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171" fontId="0" fillId="0" borderId="1" xfId="17" applyBorder="1" applyAlignment="1">
      <alignment horizontal="center" vertic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D38" sqref="D38"/>
    </sheetView>
  </sheetViews>
  <sheetFormatPr defaultColWidth="11.421875" defaultRowHeight="12.75"/>
  <cols>
    <col min="1" max="1" width="2.421875" style="1" customWidth="1"/>
    <col min="2" max="2" width="7.57421875" style="2" customWidth="1"/>
    <col min="3" max="3" width="31.421875" style="1" customWidth="1"/>
    <col min="4" max="4" width="32.7109375" style="1" customWidth="1"/>
    <col min="5" max="5" width="13.421875" style="1" customWidth="1"/>
    <col min="6" max="6" width="16.28125" style="1" customWidth="1"/>
    <col min="7" max="7" width="14.28125" style="1" customWidth="1"/>
    <col min="8" max="8" width="14.57421875" style="1" customWidth="1"/>
    <col min="9" max="9" width="2.140625" style="1" customWidth="1"/>
    <col min="10" max="16384" width="11.421875" style="1" customWidth="1"/>
  </cols>
  <sheetData>
    <row r="1" spans="1:9" ht="12" thickBot="1">
      <c r="A1" s="5"/>
      <c r="B1" s="6"/>
      <c r="C1" s="7"/>
      <c r="D1" s="7"/>
      <c r="E1" s="7"/>
      <c r="F1" s="7"/>
      <c r="G1" s="7"/>
      <c r="H1" s="7"/>
      <c r="I1" s="8"/>
    </row>
    <row r="2" spans="1:9" ht="33.75">
      <c r="A2" s="9"/>
      <c r="B2" s="3" t="s">
        <v>5</v>
      </c>
      <c r="C2" s="3" t="s">
        <v>6</v>
      </c>
      <c r="D2" s="3" t="s">
        <v>7</v>
      </c>
      <c r="E2" s="80" t="s">
        <v>8</v>
      </c>
      <c r="F2" s="80" t="s">
        <v>9</v>
      </c>
      <c r="G2" s="22" t="s">
        <v>10</v>
      </c>
      <c r="H2" s="22" t="s">
        <v>11</v>
      </c>
      <c r="I2" s="10"/>
    </row>
    <row r="3" spans="1:9" ht="11.25">
      <c r="A3" s="9"/>
      <c r="B3" s="11"/>
      <c r="C3" s="12"/>
      <c r="D3" s="12"/>
      <c r="E3" s="12"/>
      <c r="F3" s="12"/>
      <c r="G3" s="12"/>
      <c r="H3" s="12"/>
      <c r="I3" s="10"/>
    </row>
    <row r="4" spans="1:9" ht="11.25">
      <c r="A4" s="9"/>
      <c r="B4" s="3">
        <v>1</v>
      </c>
      <c r="C4" s="4" t="s">
        <v>0</v>
      </c>
      <c r="D4" s="4" t="s">
        <v>50</v>
      </c>
      <c r="E4" s="28">
        <f>+PARAMETROS!D22</f>
        <v>1.5</v>
      </c>
      <c r="F4" s="40">
        <f>+PARAMETROS!E22</f>
        <v>0.65</v>
      </c>
      <c r="G4" s="37">
        <f>+PARAMETROS!F22</f>
        <v>0.5</v>
      </c>
      <c r="H4" s="40">
        <v>0.7</v>
      </c>
      <c r="I4" s="10"/>
    </row>
    <row r="5" spans="1:9" ht="11.25">
      <c r="A5" s="9"/>
      <c r="B5" s="11"/>
      <c r="C5" s="12"/>
      <c r="D5" s="12"/>
      <c r="E5" s="29"/>
      <c r="F5" s="42"/>
      <c r="G5" s="38"/>
      <c r="H5" s="40"/>
      <c r="I5" s="10"/>
    </row>
    <row r="6" spans="1:9" ht="11.25">
      <c r="A6" s="9"/>
      <c r="B6" s="3">
        <f>+B4+1</f>
        <v>2</v>
      </c>
      <c r="C6" s="4" t="s">
        <v>1</v>
      </c>
      <c r="D6" s="4" t="s">
        <v>50</v>
      </c>
      <c r="E6" s="28">
        <f>+PARAMETROS!D24</f>
        <v>1.4</v>
      </c>
      <c r="F6" s="40">
        <f>+PARAMETROS!E24</f>
        <v>0.7</v>
      </c>
      <c r="G6" s="37">
        <f>+PARAMETROS!F24</f>
        <v>0.4</v>
      </c>
      <c r="H6" s="40">
        <v>0.67</v>
      </c>
      <c r="I6" s="10"/>
    </row>
    <row r="7" spans="1:9" ht="11.25">
      <c r="A7" s="9"/>
      <c r="B7" s="11"/>
      <c r="C7" s="12"/>
      <c r="D7" s="12"/>
      <c r="E7" s="29"/>
      <c r="F7" s="42"/>
      <c r="G7" s="38"/>
      <c r="H7" s="40"/>
      <c r="I7" s="10"/>
    </row>
    <row r="8" spans="1:9" ht="11.25">
      <c r="A8" s="9"/>
      <c r="B8" s="3">
        <f>+B6+1</f>
        <v>3</v>
      </c>
      <c r="C8" s="4" t="s">
        <v>2</v>
      </c>
      <c r="D8" s="4" t="s">
        <v>50</v>
      </c>
      <c r="E8" s="28">
        <f>+PARAMETROS!D26</f>
        <v>1.3</v>
      </c>
      <c r="F8" s="40">
        <f>+PARAMETROS!E26</f>
        <v>0.75</v>
      </c>
      <c r="G8" s="37">
        <f>+PARAMETROS!F26</f>
        <v>0.3</v>
      </c>
      <c r="H8" s="40">
        <v>0.77</v>
      </c>
      <c r="I8" s="10"/>
    </row>
    <row r="9" spans="1:9" ht="11.25">
      <c r="A9" s="9"/>
      <c r="B9" s="11"/>
      <c r="C9" s="12"/>
      <c r="D9" s="12"/>
      <c r="E9" s="29"/>
      <c r="F9" s="42"/>
      <c r="G9" s="38"/>
      <c r="H9" s="40"/>
      <c r="I9" s="10"/>
    </row>
    <row r="10" spans="1:9" ht="11.25">
      <c r="A10" s="9"/>
      <c r="B10" s="3">
        <v>4</v>
      </c>
      <c r="C10" s="4" t="s">
        <v>0</v>
      </c>
      <c r="D10" s="4" t="s">
        <v>3</v>
      </c>
      <c r="E10" s="28">
        <f>+PARAMETROS!D28</f>
        <v>1.6</v>
      </c>
      <c r="F10" s="40">
        <f>+PARAMETROS!E28</f>
        <v>0.6</v>
      </c>
      <c r="G10" s="37">
        <f>+PARAMETROS!F28</f>
        <v>0.5</v>
      </c>
      <c r="H10" s="40">
        <v>0.77</v>
      </c>
      <c r="I10" s="10"/>
    </row>
    <row r="11" spans="1:9" ht="11.25">
      <c r="A11" s="9"/>
      <c r="B11" s="11"/>
      <c r="C11" s="12"/>
      <c r="D11" s="12"/>
      <c r="E11" s="29"/>
      <c r="F11" s="42"/>
      <c r="G11" s="38"/>
      <c r="H11" s="40"/>
      <c r="I11" s="10"/>
    </row>
    <row r="12" spans="1:9" ht="11.25">
      <c r="A12" s="9"/>
      <c r="B12" s="3">
        <v>5</v>
      </c>
      <c r="C12" s="4" t="s">
        <v>1</v>
      </c>
      <c r="D12" s="4" t="s">
        <v>3</v>
      </c>
      <c r="E12" s="28">
        <f>+PARAMETROS!D30</f>
        <v>1.5</v>
      </c>
      <c r="F12" s="40">
        <f>+PARAMETROS!E30</f>
        <v>0.65</v>
      </c>
      <c r="G12" s="37">
        <f>+PARAMETROS!F30</f>
        <v>0.4</v>
      </c>
      <c r="H12" s="40">
        <v>0.7</v>
      </c>
      <c r="I12" s="10"/>
    </row>
    <row r="13" spans="1:9" ht="11.25">
      <c r="A13" s="9"/>
      <c r="B13" s="11"/>
      <c r="C13" s="12"/>
      <c r="D13" s="12"/>
      <c r="E13" s="29"/>
      <c r="F13" s="42"/>
      <c r="G13" s="38"/>
      <c r="H13" s="40"/>
      <c r="I13" s="10"/>
    </row>
    <row r="14" spans="1:9" ht="11.25">
      <c r="A14" s="9"/>
      <c r="B14" s="3">
        <v>6</v>
      </c>
      <c r="C14" s="4" t="s">
        <v>2</v>
      </c>
      <c r="D14" s="4" t="s">
        <v>3</v>
      </c>
      <c r="E14" s="28">
        <f>+PARAMETROS!D32</f>
        <v>1.4</v>
      </c>
      <c r="F14" s="40">
        <f>+PARAMETROS!E32</f>
        <v>0.7</v>
      </c>
      <c r="G14" s="37">
        <f>+PARAMETROS!F32</f>
        <v>0.3</v>
      </c>
      <c r="H14" s="40">
        <v>0.83</v>
      </c>
      <c r="I14" s="10"/>
    </row>
    <row r="15" spans="1:9" ht="11.25">
      <c r="A15" s="9"/>
      <c r="B15" s="11"/>
      <c r="C15" s="12"/>
      <c r="D15" s="12"/>
      <c r="E15" s="29"/>
      <c r="F15" s="42"/>
      <c r="G15" s="38"/>
      <c r="H15" s="40"/>
      <c r="I15" s="10"/>
    </row>
    <row r="16" spans="1:9" ht="11.25">
      <c r="A16" s="9"/>
      <c r="B16" s="3">
        <f>+B14+1</f>
        <v>7</v>
      </c>
      <c r="C16" s="4" t="s">
        <v>0</v>
      </c>
      <c r="D16" s="4" t="s">
        <v>4</v>
      </c>
      <c r="E16" s="28">
        <f>+PARAMETROS!D34</f>
        <v>1.4</v>
      </c>
      <c r="F16" s="40">
        <f>+PARAMETROS!E34</f>
        <v>0.7</v>
      </c>
      <c r="G16" s="37">
        <f>+PARAMETROS!F34</f>
        <v>0.4</v>
      </c>
      <c r="H16" s="40">
        <v>0.77</v>
      </c>
      <c r="I16" s="10"/>
    </row>
    <row r="17" spans="1:9" ht="11.25">
      <c r="A17" s="9"/>
      <c r="B17" s="11"/>
      <c r="C17" s="12"/>
      <c r="D17" s="12"/>
      <c r="E17" s="29"/>
      <c r="F17" s="42"/>
      <c r="G17" s="38"/>
      <c r="H17" s="40"/>
      <c r="I17" s="10"/>
    </row>
    <row r="18" spans="1:9" ht="11.25">
      <c r="A18" s="9"/>
      <c r="B18" s="3">
        <f>+B16+1</f>
        <v>8</v>
      </c>
      <c r="C18" s="4" t="s">
        <v>1</v>
      </c>
      <c r="D18" s="4" t="s">
        <v>4</v>
      </c>
      <c r="E18" s="28">
        <f>+PARAMETROS!D36</f>
        <v>1.3</v>
      </c>
      <c r="F18" s="40">
        <f>+PARAMETROS!E36</f>
        <v>0.75</v>
      </c>
      <c r="G18" s="37">
        <f>+PARAMETROS!F36</f>
        <v>0.3</v>
      </c>
      <c r="H18" s="40">
        <v>0.7</v>
      </c>
      <c r="I18" s="10"/>
    </row>
    <row r="19" spans="1:9" ht="11.25">
      <c r="A19" s="9"/>
      <c r="B19" s="11"/>
      <c r="C19" s="12"/>
      <c r="D19" s="12"/>
      <c r="E19" s="29"/>
      <c r="F19" s="42"/>
      <c r="G19" s="38"/>
      <c r="H19" s="40"/>
      <c r="I19" s="10"/>
    </row>
    <row r="20" spans="1:9" ht="11.25">
      <c r="A20" s="9"/>
      <c r="B20" s="3">
        <v>9</v>
      </c>
      <c r="C20" s="4" t="s">
        <v>2</v>
      </c>
      <c r="D20" s="4" t="s">
        <v>4</v>
      </c>
      <c r="E20" s="28">
        <f>+PARAMETROS!D38</f>
        <v>1.2</v>
      </c>
      <c r="F20" s="40">
        <f>+PARAMETROS!E38</f>
        <v>0.8</v>
      </c>
      <c r="G20" s="37">
        <f>+PARAMETROS!F38</f>
        <v>0.2</v>
      </c>
      <c r="H20" s="40">
        <v>0.9</v>
      </c>
      <c r="I20" s="10"/>
    </row>
    <row r="21" spans="1:9" ht="12" thickBot="1">
      <c r="A21" s="13"/>
      <c r="B21" s="14"/>
      <c r="C21" s="15"/>
      <c r="D21" s="15"/>
      <c r="E21" s="15"/>
      <c r="F21" s="15"/>
      <c r="G21" s="15"/>
      <c r="H21" s="15"/>
      <c r="I21" s="16"/>
    </row>
  </sheetData>
  <printOptions/>
  <pageMargins left="0.75" right="0.75" top="1" bottom="1" header="0" footer="0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pane xSplit="3" ySplit="2" topLeftCell="D3" activePane="bottomRight" state="frozen"/>
      <selection pane="topLeft" activeCell="H4" sqref="H4"/>
      <selection pane="topRight" activeCell="H4" sqref="H4"/>
      <selection pane="bottomLeft" activeCell="H4" sqref="H4"/>
      <selection pane="bottomRight" activeCell="K12" sqref="K12"/>
    </sheetView>
  </sheetViews>
  <sheetFormatPr defaultColWidth="11.421875" defaultRowHeight="12.75"/>
  <cols>
    <col min="1" max="1" width="2.421875" style="1" customWidth="1"/>
    <col min="2" max="2" width="5.57421875" style="2" customWidth="1"/>
    <col min="3" max="3" width="30.421875" style="1" bestFit="1" customWidth="1"/>
    <col min="4" max="4" width="15.8515625" style="1" bestFit="1" customWidth="1"/>
    <col min="5" max="5" width="16.00390625" style="1" customWidth="1"/>
    <col min="6" max="6" width="14.7109375" style="1" customWidth="1"/>
    <col min="7" max="7" width="14.57421875" style="1" customWidth="1"/>
    <col min="8" max="8" width="2.57421875" style="1" customWidth="1"/>
    <col min="9" max="16384" width="11.421875" style="1" customWidth="1"/>
  </cols>
  <sheetData>
    <row r="1" spans="1:8" ht="12" thickBot="1">
      <c r="A1" s="5"/>
      <c r="B1" s="6"/>
      <c r="C1" s="7"/>
      <c r="D1" s="7"/>
      <c r="E1" s="7"/>
      <c r="F1" s="7"/>
      <c r="G1" s="7"/>
      <c r="H1" s="8"/>
    </row>
    <row r="2" spans="1:8" ht="33.75">
      <c r="A2" s="9"/>
      <c r="B2" s="19" t="s">
        <v>5</v>
      </c>
      <c r="C2" s="20" t="s">
        <v>12</v>
      </c>
      <c r="D2" s="21" t="s">
        <v>8</v>
      </c>
      <c r="E2" s="21" t="s">
        <v>9</v>
      </c>
      <c r="F2" s="22" t="s">
        <v>10</v>
      </c>
      <c r="G2" s="22" t="s">
        <v>11</v>
      </c>
      <c r="H2" s="10"/>
    </row>
    <row r="3" spans="1:8" ht="11.25">
      <c r="A3" s="9"/>
      <c r="B3" s="23"/>
      <c r="C3" s="12"/>
      <c r="D3" s="12"/>
      <c r="E3" s="12"/>
      <c r="F3" s="12"/>
      <c r="G3" s="12"/>
      <c r="H3" s="10"/>
    </row>
    <row r="4" spans="1:8" ht="22.5">
      <c r="A4" s="9"/>
      <c r="B4" s="23"/>
      <c r="C4" s="3" t="s">
        <v>13</v>
      </c>
      <c r="D4" s="3" t="s">
        <v>32</v>
      </c>
      <c r="E4" s="3" t="s">
        <v>30</v>
      </c>
      <c r="F4" s="3" t="s">
        <v>31</v>
      </c>
      <c r="G4" s="3" t="s">
        <v>47</v>
      </c>
      <c r="H4" s="10"/>
    </row>
    <row r="5" spans="1:8" ht="11.25">
      <c r="A5" s="9"/>
      <c r="B5" s="23"/>
      <c r="C5" s="12"/>
      <c r="D5" s="12"/>
      <c r="E5" s="12"/>
      <c r="F5" s="12"/>
      <c r="G5" s="12"/>
      <c r="H5" s="10"/>
    </row>
    <row r="6" spans="1:8" ht="11.25">
      <c r="A6" s="9"/>
      <c r="B6" s="24">
        <v>1</v>
      </c>
      <c r="C6" s="4" t="s">
        <v>0</v>
      </c>
      <c r="D6" s="40">
        <v>1.6</v>
      </c>
      <c r="E6" s="40">
        <v>0.6</v>
      </c>
      <c r="F6" s="18">
        <v>0.5</v>
      </c>
      <c r="G6" s="40">
        <v>1.5</v>
      </c>
      <c r="H6" s="10"/>
    </row>
    <row r="7" spans="1:8" ht="11.25">
      <c r="A7" s="9"/>
      <c r="B7" s="23"/>
      <c r="C7" s="12"/>
      <c r="D7" s="78"/>
      <c r="E7" s="78"/>
      <c r="F7" s="17"/>
      <c r="G7" s="40"/>
      <c r="H7" s="10"/>
    </row>
    <row r="8" spans="1:8" ht="11.25">
      <c r="A8" s="9"/>
      <c r="B8" s="24">
        <f>+B6+1</f>
        <v>2</v>
      </c>
      <c r="C8" s="4" t="s">
        <v>1</v>
      </c>
      <c r="D8" s="40">
        <v>1.4</v>
      </c>
      <c r="E8" s="40">
        <v>0.7</v>
      </c>
      <c r="F8" s="18">
        <v>0.3</v>
      </c>
      <c r="G8" s="40">
        <v>1.3</v>
      </c>
      <c r="H8" s="10"/>
    </row>
    <row r="9" spans="1:8" ht="11.25">
      <c r="A9" s="9"/>
      <c r="B9" s="23"/>
      <c r="C9" s="12"/>
      <c r="D9" s="42"/>
      <c r="E9" s="42"/>
      <c r="F9" s="17"/>
      <c r="G9" s="40"/>
      <c r="H9" s="10"/>
    </row>
    <row r="10" spans="1:8" ht="11.25">
      <c r="A10" s="9"/>
      <c r="B10" s="24">
        <f>+B8+1</f>
        <v>3</v>
      </c>
      <c r="C10" s="4" t="s">
        <v>2</v>
      </c>
      <c r="D10" s="40">
        <v>1.2</v>
      </c>
      <c r="E10" s="40">
        <v>0.8</v>
      </c>
      <c r="F10" s="18">
        <v>0.1</v>
      </c>
      <c r="G10" s="40">
        <v>1.2</v>
      </c>
      <c r="H10" s="10"/>
    </row>
    <row r="11" spans="1:8" ht="11.25">
      <c r="A11" s="9"/>
      <c r="B11" s="23"/>
      <c r="C11" s="12"/>
      <c r="D11" s="78"/>
      <c r="E11" s="78"/>
      <c r="F11" s="17"/>
      <c r="G11" s="42"/>
      <c r="H11" s="10"/>
    </row>
    <row r="12" spans="1:8" ht="22.5" customHeight="1">
      <c r="A12" s="9"/>
      <c r="B12" s="24"/>
      <c r="C12" s="3" t="s">
        <v>14</v>
      </c>
      <c r="D12" s="78"/>
      <c r="E12" s="78"/>
      <c r="F12" s="17"/>
      <c r="G12" s="42"/>
      <c r="H12" s="10"/>
    </row>
    <row r="13" spans="1:8" ht="11.25">
      <c r="A13" s="9"/>
      <c r="B13" s="23"/>
      <c r="C13" s="12"/>
      <c r="D13" s="78"/>
      <c r="E13" s="78"/>
      <c r="F13" s="17"/>
      <c r="G13" s="42"/>
      <c r="H13" s="10"/>
    </row>
    <row r="14" spans="1:8" ht="11.25">
      <c r="A14" s="9"/>
      <c r="B14" s="24">
        <v>4</v>
      </c>
      <c r="C14" s="4" t="s">
        <v>50</v>
      </c>
      <c r="D14" s="40">
        <v>1.4</v>
      </c>
      <c r="E14" s="40">
        <v>0.7</v>
      </c>
      <c r="F14" s="18">
        <v>0.5</v>
      </c>
      <c r="G14" s="40">
        <v>1.3</v>
      </c>
      <c r="H14" s="10"/>
    </row>
    <row r="15" spans="1:8" ht="11.25">
      <c r="A15" s="9"/>
      <c r="B15" s="23"/>
      <c r="C15" s="12"/>
      <c r="D15" s="42"/>
      <c r="E15" s="42"/>
      <c r="F15" s="17"/>
      <c r="G15" s="42"/>
      <c r="H15" s="10"/>
    </row>
    <row r="16" spans="1:8" ht="11.25">
      <c r="A16" s="9"/>
      <c r="B16" s="24">
        <v>5</v>
      </c>
      <c r="C16" s="4" t="s">
        <v>3</v>
      </c>
      <c r="D16" s="40">
        <v>1.6</v>
      </c>
      <c r="E16" s="40">
        <v>0.6</v>
      </c>
      <c r="F16" s="18">
        <v>0.5</v>
      </c>
      <c r="G16" s="40">
        <v>1.5</v>
      </c>
      <c r="H16" s="10"/>
    </row>
    <row r="17" spans="1:8" ht="11.25">
      <c r="A17" s="9"/>
      <c r="B17" s="23"/>
      <c r="C17" s="12"/>
      <c r="D17" s="42"/>
      <c r="E17" s="42"/>
      <c r="F17" s="17"/>
      <c r="G17" s="42"/>
      <c r="H17" s="10"/>
    </row>
    <row r="18" spans="1:8" ht="12" thickBot="1">
      <c r="A18" s="9"/>
      <c r="B18" s="25">
        <v>6</v>
      </c>
      <c r="C18" s="26" t="s">
        <v>4</v>
      </c>
      <c r="D18" s="41">
        <v>1.2</v>
      </c>
      <c r="E18" s="41">
        <v>0.8</v>
      </c>
      <c r="F18" s="27">
        <v>0.3</v>
      </c>
      <c r="G18" s="41">
        <v>1</v>
      </c>
      <c r="H18" s="10"/>
    </row>
    <row r="19" spans="1:8" ht="12" thickBot="1">
      <c r="A19" s="13"/>
      <c r="B19" s="14"/>
      <c r="C19" s="15"/>
      <c r="D19" s="15"/>
      <c r="E19" s="15"/>
      <c r="F19" s="15"/>
      <c r="G19" s="15"/>
      <c r="H19" s="16"/>
    </row>
    <row r="20" spans="2:3" s="12" customFormat="1" ht="11.25">
      <c r="B20" s="11"/>
      <c r="C20" s="11"/>
    </row>
    <row r="21" s="12" customFormat="1" ht="12" thickBot="1">
      <c r="B21" s="11"/>
    </row>
    <row r="22" spans="2:7" s="12" customFormat="1" ht="11.25">
      <c r="B22" s="11"/>
      <c r="C22" s="32" t="s">
        <v>15</v>
      </c>
      <c r="D22" s="33">
        <f>+ROUND((D$6+D14)/2,1)</f>
        <v>1.5</v>
      </c>
      <c r="E22" s="39">
        <f>+ROUND((E$6+E14)/2,2)</f>
        <v>0.65</v>
      </c>
      <c r="F22" s="79">
        <f>+ROUND((F$6+F14)/2,2)</f>
        <v>0.5</v>
      </c>
      <c r="G22" s="39">
        <v>0.7</v>
      </c>
    </row>
    <row r="23" spans="2:7" s="12" customFormat="1" ht="11.25">
      <c r="B23" s="11"/>
      <c r="C23" s="34"/>
      <c r="D23" s="31"/>
      <c r="E23" s="36"/>
      <c r="F23" s="18"/>
      <c r="G23" s="36"/>
    </row>
    <row r="24" spans="2:7" s="12" customFormat="1" ht="11.25">
      <c r="B24" s="11"/>
      <c r="C24" s="34" t="s">
        <v>18</v>
      </c>
      <c r="D24" s="28">
        <f>+ROUND((D$8+D14)/2,1)</f>
        <v>1.4</v>
      </c>
      <c r="E24" s="40">
        <f>+ROUND((E$8+E14)/2,2)</f>
        <v>0.7</v>
      </c>
      <c r="F24" s="18">
        <f>+ROUND((F$8+F14)/2,2)</f>
        <v>0.4</v>
      </c>
      <c r="G24" s="40">
        <v>0.67</v>
      </c>
    </row>
    <row r="25" spans="2:7" s="12" customFormat="1" ht="11.25">
      <c r="B25" s="11"/>
      <c r="C25" s="34"/>
      <c r="D25" s="31"/>
      <c r="E25" s="36"/>
      <c r="F25" s="18"/>
      <c r="G25" s="36"/>
    </row>
    <row r="26" spans="2:7" s="12" customFormat="1" ht="11.25">
      <c r="B26" s="11"/>
      <c r="C26" s="34" t="s">
        <v>21</v>
      </c>
      <c r="D26" s="28">
        <f>+ROUND((D$10+D14)/2,1)</f>
        <v>1.3</v>
      </c>
      <c r="E26" s="40">
        <f>+ROUND((E$10+E14)/2,2)</f>
        <v>0.75</v>
      </c>
      <c r="F26" s="18">
        <f>+ROUND((F$10+F14)/2,2)</f>
        <v>0.3</v>
      </c>
      <c r="G26" s="40">
        <v>0.77</v>
      </c>
    </row>
    <row r="27" spans="1:7" ht="11.25">
      <c r="A27" s="9"/>
      <c r="B27" s="11"/>
      <c r="C27" s="34"/>
      <c r="D27" s="31"/>
      <c r="E27" s="36"/>
      <c r="F27" s="18"/>
      <c r="G27" s="36"/>
    </row>
    <row r="28" spans="3:7" ht="11.25">
      <c r="C28" s="34" t="s">
        <v>16</v>
      </c>
      <c r="D28" s="28">
        <f>+ROUND((D$6+D16)/2,1)</f>
        <v>1.6</v>
      </c>
      <c r="E28" s="40">
        <f>+ROUND((E$6+E16)/2,2)</f>
        <v>0.6</v>
      </c>
      <c r="F28" s="18">
        <f>+ROUND((F$6+F16)/2,2)</f>
        <v>0.5</v>
      </c>
      <c r="G28" s="40">
        <v>0.77</v>
      </c>
    </row>
    <row r="29" spans="3:7" ht="11.25">
      <c r="C29" s="34"/>
      <c r="D29" s="31"/>
      <c r="E29" s="36"/>
      <c r="F29" s="18"/>
      <c r="G29" s="36"/>
    </row>
    <row r="30" spans="3:7" ht="11.25">
      <c r="C30" s="34" t="s">
        <v>19</v>
      </c>
      <c r="D30" s="28">
        <f>+ROUND((D$8+D16)/2,1)</f>
        <v>1.5</v>
      </c>
      <c r="E30" s="40">
        <f>+ROUND((E$8+E16)/2,2)</f>
        <v>0.65</v>
      </c>
      <c r="F30" s="18">
        <f>+ROUND((F$8+F16)/2,2)</f>
        <v>0.4</v>
      </c>
      <c r="G30" s="40">
        <v>0.7</v>
      </c>
    </row>
    <row r="31" spans="3:7" ht="11.25">
      <c r="C31" s="34"/>
      <c r="D31" s="31"/>
      <c r="E31" s="36"/>
      <c r="F31" s="18"/>
      <c r="G31" s="36"/>
    </row>
    <row r="32" spans="3:7" ht="11.25">
      <c r="C32" s="34" t="s">
        <v>22</v>
      </c>
      <c r="D32" s="28">
        <f>+ROUND((D$10+D16)/2,1)</f>
        <v>1.4</v>
      </c>
      <c r="E32" s="40">
        <f>+ROUND((E$10+E16)/2,2)</f>
        <v>0.7</v>
      </c>
      <c r="F32" s="18">
        <f>+ROUND((F$10+F16)/2,2)</f>
        <v>0.3</v>
      </c>
      <c r="G32" s="40">
        <v>0.83</v>
      </c>
    </row>
    <row r="33" spans="3:7" ht="11.25">
      <c r="C33" s="34"/>
      <c r="D33" s="31"/>
      <c r="E33" s="36"/>
      <c r="F33" s="18"/>
      <c r="G33" s="36"/>
    </row>
    <row r="34" spans="3:7" ht="11.25">
      <c r="C34" s="34" t="s">
        <v>17</v>
      </c>
      <c r="D34" s="28">
        <f>+ROUND((D$6+D18)/2,1)</f>
        <v>1.4</v>
      </c>
      <c r="E34" s="40">
        <f>+ROUND((E$6+E18)/2,2)</f>
        <v>0.7</v>
      </c>
      <c r="F34" s="18">
        <f>+ROUND((F$6+F18)/2,2)</f>
        <v>0.4</v>
      </c>
      <c r="G34" s="40">
        <v>0.77</v>
      </c>
    </row>
    <row r="35" spans="3:7" ht="11.25">
      <c r="C35" s="34"/>
      <c r="D35" s="31"/>
      <c r="E35" s="36"/>
      <c r="F35" s="18"/>
      <c r="G35" s="36"/>
    </row>
    <row r="36" spans="3:7" ht="11.25">
      <c r="C36" s="34" t="s">
        <v>20</v>
      </c>
      <c r="D36" s="28">
        <f>+ROUND((D$8+D18)/2,1)</f>
        <v>1.3</v>
      </c>
      <c r="E36" s="40">
        <f>+ROUND((E$8+E18)/2,2)</f>
        <v>0.75</v>
      </c>
      <c r="F36" s="18">
        <f>+ROUND((F$8+F18)/2,2)</f>
        <v>0.3</v>
      </c>
      <c r="G36" s="40">
        <v>0.7</v>
      </c>
    </row>
    <row r="37" spans="3:7" ht="11.25">
      <c r="C37" s="34"/>
      <c r="D37" s="31"/>
      <c r="E37" s="36"/>
      <c r="F37" s="18"/>
      <c r="G37" s="36"/>
    </row>
    <row r="38" spans="3:7" ht="12" thickBot="1">
      <c r="C38" s="35" t="s">
        <v>23</v>
      </c>
      <c r="D38" s="30">
        <f>+ROUND((D$10+D18)/2,1)</f>
        <v>1.2</v>
      </c>
      <c r="E38" s="41">
        <f>+ROUND((E$10+E18)/2,2)</f>
        <v>0.8</v>
      </c>
      <c r="F38" s="27">
        <f>+ROUND((F$10+F18)/2,2)</f>
        <v>0.2</v>
      </c>
      <c r="G38" s="41">
        <v>90</v>
      </c>
    </row>
  </sheetData>
  <printOptions/>
  <pageMargins left="0.75" right="0.75" top="1" bottom="1" header="0" footer="0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1"/>
  <sheetViews>
    <sheetView tabSelected="1" view="pageBreakPreview" zoomScale="115" zoomScaleNormal="55" zoomScaleSheetLayoutView="115" workbookViewId="0" topLeftCell="D4">
      <selection activeCell="H6" sqref="H6"/>
    </sheetView>
  </sheetViews>
  <sheetFormatPr defaultColWidth="11.421875" defaultRowHeight="12.75"/>
  <cols>
    <col min="2" max="2" width="19.7109375" style="0" customWidth="1"/>
    <col min="3" max="3" width="37.7109375" style="0" customWidth="1"/>
    <col min="4" max="4" width="40.00390625" style="0" customWidth="1"/>
    <col min="5" max="5" width="5.57421875" style="0" bestFit="1" customWidth="1"/>
    <col min="6" max="6" width="18.140625" style="0" customWidth="1"/>
    <col min="7" max="7" width="2.00390625" style="0" customWidth="1"/>
    <col min="8" max="8" width="21.57421875" style="0" customWidth="1"/>
    <col min="9" max="9" width="3.8515625" style="0" customWidth="1"/>
    <col min="10" max="10" width="16.28125" style="0" bestFit="1" customWidth="1"/>
    <col min="11" max="11" width="3.8515625" style="0" customWidth="1"/>
    <col min="12" max="12" width="41.00390625" style="0" customWidth="1"/>
    <col min="13" max="13" width="5.57421875" style="0" bestFit="1" customWidth="1"/>
    <col min="14" max="14" width="14.8515625" style="0" customWidth="1"/>
    <col min="15" max="15" width="2.00390625" style="0" customWidth="1"/>
    <col min="16" max="16" width="19.421875" style="0" customWidth="1"/>
    <col min="17" max="17" width="3.8515625" style="0" customWidth="1"/>
    <col min="18" max="18" width="16.28125" style="0" bestFit="1" customWidth="1"/>
    <col min="19" max="19" width="3.8515625" style="0" customWidth="1"/>
    <col min="20" max="20" width="40.8515625" style="0" customWidth="1"/>
    <col min="21" max="21" width="5.57421875" style="0" bestFit="1" customWidth="1"/>
    <col min="22" max="22" width="16.8515625" style="0" customWidth="1"/>
    <col min="23" max="23" width="2.00390625" style="0" customWidth="1"/>
    <col min="24" max="24" width="17.8515625" style="0" customWidth="1"/>
    <col min="25" max="25" width="3.8515625" style="0" customWidth="1"/>
    <col min="26" max="26" width="16.28125" style="0" bestFit="1" customWidth="1"/>
    <col min="27" max="27" width="3.8515625" style="0" customWidth="1"/>
    <col min="28" max="28" width="2.421875" style="0" customWidth="1"/>
  </cols>
  <sheetData>
    <row r="1" spans="1:4" ht="18">
      <c r="A1" s="177" t="s">
        <v>70</v>
      </c>
      <c r="B1" s="177"/>
      <c r="C1" s="177"/>
      <c r="D1" s="177"/>
    </row>
    <row r="2" spans="1:5" ht="63.75" customHeight="1">
      <c r="A2" s="180"/>
      <c r="B2" s="180"/>
      <c r="C2" s="180"/>
      <c r="D2" s="180"/>
      <c r="E2" s="180"/>
    </row>
    <row r="3" spans="1:26" ht="12.75">
      <c r="A3" s="114"/>
      <c r="H3" s="87" t="str">
        <f>+$B$17</f>
        <v>Presupuesto Oficial</v>
      </c>
      <c r="J3" s="88">
        <f>IF($B$17="Presupuesto Oficial",$C$17,F21)</f>
        <v>1230771809</v>
      </c>
      <c r="P3" s="87" t="str">
        <f>+$B$17</f>
        <v>Presupuesto Oficial</v>
      </c>
      <c r="R3" s="88">
        <f>IF($B$17="Presupuesto Oficial",$C$17,N21)</f>
        <v>1230771809</v>
      </c>
      <c r="X3" s="87" t="str">
        <f>+$B$17</f>
        <v>Presupuesto Oficial</v>
      </c>
      <c r="Z3" s="88">
        <f>IF($B$17="Presupuesto Oficial",$C$17,V21)</f>
        <v>1230771809</v>
      </c>
    </row>
    <row r="4" spans="4:22" ht="13.5" thickBot="1">
      <c r="D4" s="64" t="s">
        <v>44</v>
      </c>
      <c r="F4" s="77"/>
      <c r="L4" s="64" t="s">
        <v>44</v>
      </c>
      <c r="N4" s="77"/>
      <c r="T4" s="64" t="s">
        <v>44</v>
      </c>
      <c r="V4" s="77"/>
    </row>
    <row r="5" spans="4:26" ht="23.25" customHeight="1" thickBot="1">
      <c r="D5" s="178" t="s">
        <v>99</v>
      </c>
      <c r="E5" s="179"/>
      <c r="F5" s="179"/>
      <c r="G5" s="156"/>
      <c r="H5" s="156"/>
      <c r="I5" s="156"/>
      <c r="J5" s="157"/>
      <c r="L5" s="178" t="s">
        <v>72</v>
      </c>
      <c r="M5" s="179"/>
      <c r="N5" s="179"/>
      <c r="O5" s="156"/>
      <c r="P5" s="156"/>
      <c r="Q5" s="156"/>
      <c r="R5" s="157"/>
      <c r="T5" s="178" t="s">
        <v>73</v>
      </c>
      <c r="U5" s="179"/>
      <c r="V5" s="179"/>
      <c r="W5" s="156"/>
      <c r="X5" s="156"/>
      <c r="Y5" s="156"/>
      <c r="Z5" s="157"/>
    </row>
    <row r="6" spans="4:26" ht="89.25" customHeight="1">
      <c r="D6" s="108" t="s">
        <v>39</v>
      </c>
      <c r="E6" s="109"/>
      <c r="F6" s="110">
        <v>0.34</v>
      </c>
      <c r="L6" s="108" t="s">
        <v>39</v>
      </c>
      <c r="M6" s="109"/>
      <c r="N6" s="110">
        <v>0.33</v>
      </c>
      <c r="P6" s="181" t="s">
        <v>107</v>
      </c>
      <c r="Q6" s="181"/>
      <c r="R6" s="181"/>
      <c r="T6" s="108" t="s">
        <v>39</v>
      </c>
      <c r="U6" s="109"/>
      <c r="V6" s="110">
        <v>0.33</v>
      </c>
      <c r="X6" s="181" t="s">
        <v>104</v>
      </c>
      <c r="Y6" s="181"/>
      <c r="Z6" s="181"/>
    </row>
    <row r="7" spans="1:26" ht="12.75">
      <c r="A7" s="113"/>
      <c r="B7" s="93"/>
      <c r="C7" s="93"/>
      <c r="D7" s="99" t="s">
        <v>59</v>
      </c>
      <c r="E7" s="94"/>
      <c r="F7" s="100"/>
      <c r="H7" s="197" t="s">
        <v>101</v>
      </c>
      <c r="I7" s="197"/>
      <c r="J7" s="197"/>
      <c r="L7" s="99" t="s">
        <v>59</v>
      </c>
      <c r="M7" s="94"/>
      <c r="N7" s="100"/>
      <c r="T7" s="99" t="s">
        <v>59</v>
      </c>
      <c r="U7" s="94"/>
      <c r="V7" s="100"/>
      <c r="X7" s="195"/>
      <c r="Y7" s="195"/>
      <c r="Z7" s="195"/>
    </row>
    <row r="8" spans="1:26" ht="12.75" customHeight="1">
      <c r="A8" s="113"/>
      <c r="B8" s="93"/>
      <c r="C8" s="93"/>
      <c r="D8" s="99" t="s">
        <v>60</v>
      </c>
      <c r="E8" s="94"/>
      <c r="F8" s="100"/>
      <c r="H8" s="197"/>
      <c r="I8" s="197"/>
      <c r="J8" s="197"/>
      <c r="L8" s="99" t="s">
        <v>60</v>
      </c>
      <c r="M8" s="94"/>
      <c r="N8" s="100"/>
      <c r="T8" s="99" t="s">
        <v>60</v>
      </c>
      <c r="U8" s="94"/>
      <c r="V8" s="100"/>
      <c r="X8" s="196" t="s">
        <v>102</v>
      </c>
      <c r="Y8" s="196"/>
      <c r="Z8" s="196"/>
    </row>
    <row r="9" spans="1:26" ht="12.75" customHeight="1">
      <c r="A9" s="148"/>
      <c r="B9" s="149"/>
      <c r="C9" s="149"/>
      <c r="D9" s="99" t="s">
        <v>61</v>
      </c>
      <c r="E9" s="94"/>
      <c r="F9" s="101">
        <v>40246</v>
      </c>
      <c r="H9" s="197"/>
      <c r="I9" s="197"/>
      <c r="J9" s="197"/>
      <c r="L9" s="99" t="s">
        <v>61</v>
      </c>
      <c r="M9" s="94"/>
      <c r="N9" s="101">
        <v>40253</v>
      </c>
      <c r="P9" s="196" t="s">
        <v>106</v>
      </c>
      <c r="Q9" s="196"/>
      <c r="R9" s="196"/>
      <c r="T9" s="99" t="s">
        <v>61</v>
      </c>
      <c r="U9" s="94"/>
      <c r="V9" s="101">
        <v>40260</v>
      </c>
      <c r="X9" s="196"/>
      <c r="Y9" s="196"/>
      <c r="Z9" s="196"/>
    </row>
    <row r="10" spans="1:29" ht="12.75">
      <c r="A10" s="148"/>
      <c r="B10" s="149"/>
      <c r="C10" s="149"/>
      <c r="D10" s="99"/>
      <c r="E10" s="94"/>
      <c r="F10" s="101"/>
      <c r="H10" s="197"/>
      <c r="I10" s="197"/>
      <c r="J10" s="197"/>
      <c r="L10" s="99"/>
      <c r="M10" s="94"/>
      <c r="N10" s="101"/>
      <c r="P10" s="196"/>
      <c r="Q10" s="196"/>
      <c r="R10" s="196"/>
      <c r="T10" s="99"/>
      <c r="U10" s="94"/>
      <c r="V10" s="101"/>
      <c r="X10" s="196"/>
      <c r="Y10" s="196"/>
      <c r="Z10" s="196"/>
      <c r="AC10" s="116"/>
    </row>
    <row r="11" spans="1:26" ht="12.75">
      <c r="A11" s="148"/>
      <c r="B11" s="149"/>
      <c r="C11" s="149"/>
      <c r="D11" s="99" t="s">
        <v>62</v>
      </c>
      <c r="E11" s="94"/>
      <c r="F11" s="101">
        <v>40246</v>
      </c>
      <c r="H11" s="197"/>
      <c r="I11" s="197"/>
      <c r="J11" s="197"/>
      <c r="L11" s="99" t="s">
        <v>62</v>
      </c>
      <c r="M11" s="94"/>
      <c r="N11" s="101">
        <v>40246</v>
      </c>
      <c r="P11" s="198" t="s">
        <v>105</v>
      </c>
      <c r="Q11" s="198"/>
      <c r="R11" s="198"/>
      <c r="T11" s="99" t="s">
        <v>67</v>
      </c>
      <c r="U11" s="94"/>
      <c r="V11" s="101">
        <v>40218</v>
      </c>
      <c r="X11" s="153"/>
      <c r="Y11" s="153"/>
      <c r="Z11" s="153"/>
    </row>
    <row r="12" spans="1:26" ht="12.75">
      <c r="A12" s="148"/>
      <c r="B12" s="149"/>
      <c r="C12" s="149"/>
      <c r="D12" s="99"/>
      <c r="E12" s="94"/>
      <c r="F12" s="102"/>
      <c r="H12" s="116"/>
      <c r="I12" s="116"/>
      <c r="J12" s="116"/>
      <c r="L12" s="99"/>
      <c r="M12" s="94"/>
      <c r="N12" s="102"/>
      <c r="P12" s="198"/>
      <c r="Q12" s="198"/>
      <c r="R12" s="198"/>
      <c r="T12" s="99"/>
      <c r="U12" s="94"/>
      <c r="V12" s="102"/>
      <c r="X12" s="196" t="s">
        <v>103</v>
      </c>
      <c r="Y12" s="196"/>
      <c r="Z12" s="196"/>
    </row>
    <row r="13" spans="1:26" ht="13.5" thickBot="1">
      <c r="A13" s="148"/>
      <c r="B13" s="149"/>
      <c r="C13" s="149"/>
      <c r="D13" s="99"/>
      <c r="E13" s="94"/>
      <c r="F13" s="102"/>
      <c r="H13" s="116"/>
      <c r="I13" s="116"/>
      <c r="J13" s="116"/>
      <c r="L13" s="99"/>
      <c r="M13" s="94"/>
      <c r="N13" s="102"/>
      <c r="P13" s="198"/>
      <c r="Q13" s="198"/>
      <c r="R13" s="198"/>
      <c r="T13" s="99"/>
      <c r="U13" s="94"/>
      <c r="V13" s="102"/>
      <c r="X13" s="196"/>
      <c r="Y13" s="196"/>
      <c r="Z13" s="196"/>
    </row>
    <row r="14" spans="1:26" ht="13.5" thickBot="1">
      <c r="A14" s="152">
        <v>4</v>
      </c>
      <c r="B14" s="188" t="s">
        <v>69</v>
      </c>
      <c r="C14" s="189"/>
      <c r="D14" s="92"/>
      <c r="E14" s="44"/>
      <c r="F14" s="104"/>
      <c r="H14" s="116"/>
      <c r="I14" s="116"/>
      <c r="J14" s="116"/>
      <c r="L14" s="92"/>
      <c r="M14" s="44"/>
      <c r="N14" s="104"/>
      <c r="T14" s="92"/>
      <c r="U14" s="44"/>
      <c r="V14" s="104"/>
      <c r="X14" s="196"/>
      <c r="Y14" s="196"/>
      <c r="Z14" s="196"/>
    </row>
    <row r="15" spans="1:26" ht="18.75" thickBot="1">
      <c r="A15" s="47" t="s">
        <v>33</v>
      </c>
      <c r="B15" s="66"/>
      <c r="C15" s="44"/>
      <c r="D15" s="165" t="s">
        <v>57</v>
      </c>
      <c r="E15" s="166"/>
      <c r="F15" s="167"/>
      <c r="H15" s="154" t="s">
        <v>64</v>
      </c>
      <c r="I15" s="154"/>
      <c r="J15" s="154"/>
      <c r="L15" s="165" t="s">
        <v>57</v>
      </c>
      <c r="M15" s="166"/>
      <c r="N15" s="167"/>
      <c r="P15" s="154" t="s">
        <v>64</v>
      </c>
      <c r="Q15" s="154"/>
      <c r="R15" s="154"/>
      <c r="T15" s="165" t="s">
        <v>57</v>
      </c>
      <c r="U15" s="166"/>
      <c r="V15" s="167"/>
      <c r="X15" s="154" t="s">
        <v>64</v>
      </c>
      <c r="Y15" s="154"/>
      <c r="Z15" s="154"/>
    </row>
    <row r="16" spans="1:26" ht="13.5" thickBot="1">
      <c r="A16" s="152" t="s">
        <v>56</v>
      </c>
      <c r="B16" s="66"/>
      <c r="C16" s="44"/>
      <c r="D16" s="95" t="s">
        <v>24</v>
      </c>
      <c r="E16" s="94"/>
      <c r="F16" s="117">
        <f>+Hoja3!B21</f>
        <v>5236578770</v>
      </c>
      <c r="H16" s="105"/>
      <c r="I16" s="105"/>
      <c r="J16" s="105"/>
      <c r="L16" s="95" t="s">
        <v>24</v>
      </c>
      <c r="M16" s="94"/>
      <c r="N16" s="97">
        <v>186727123</v>
      </c>
      <c r="P16" s="105"/>
      <c r="Q16" s="105"/>
      <c r="R16" s="105"/>
      <c r="T16" s="95" t="s">
        <v>24</v>
      </c>
      <c r="U16" s="94"/>
      <c r="V16" s="97">
        <v>231011000</v>
      </c>
      <c r="X16" s="105"/>
      <c r="Y16" s="105"/>
      <c r="Z16" s="105"/>
    </row>
    <row r="17" spans="1:26" ht="18.75" thickBot="1">
      <c r="A17" s="81" t="s">
        <v>38</v>
      </c>
      <c r="B17" s="89" t="str">
        <f>IF(A16="O","Oferta",IF(A16="","",IF(A16="p","Presupuesto Oficial")))</f>
        <v>Presupuesto Oficial</v>
      </c>
      <c r="C17" s="151">
        <v>1230771809</v>
      </c>
      <c r="D17" s="95" t="s">
        <v>28</v>
      </c>
      <c r="E17" s="94"/>
      <c r="F17" s="117">
        <f>+Hoja3!B25</f>
        <v>8167412291</v>
      </c>
      <c r="H17" s="105"/>
      <c r="I17" s="105"/>
      <c r="J17" s="105"/>
      <c r="L17" s="95" t="s">
        <v>28</v>
      </c>
      <c r="M17" s="94"/>
      <c r="N17" s="97">
        <v>233301912</v>
      </c>
      <c r="P17" s="105"/>
      <c r="Q17" s="105"/>
      <c r="R17" s="105"/>
      <c r="T17" s="95" t="s">
        <v>28</v>
      </c>
      <c r="U17" s="94"/>
      <c r="V17" s="97">
        <v>237311000</v>
      </c>
      <c r="X17" s="105"/>
      <c r="Y17" s="105"/>
      <c r="Z17" s="105"/>
    </row>
    <row r="18" spans="1:26" ht="13.5" thickBot="1">
      <c r="A18" s="152" t="s">
        <v>71</v>
      </c>
      <c r="B18" s="66"/>
      <c r="C18" s="44"/>
      <c r="D18" s="95" t="s">
        <v>25</v>
      </c>
      <c r="E18" s="94"/>
      <c r="F18" s="117">
        <v>3046607202</v>
      </c>
      <c r="H18" s="105"/>
      <c r="I18" s="105"/>
      <c r="J18" s="105"/>
      <c r="L18" s="95" t="s">
        <v>25</v>
      </c>
      <c r="M18" s="94"/>
      <c r="N18" s="97">
        <v>16487101</v>
      </c>
      <c r="P18" s="105"/>
      <c r="Q18" s="105"/>
      <c r="R18" s="105"/>
      <c r="T18" s="95" t="s">
        <v>25</v>
      </c>
      <c r="U18" s="94"/>
      <c r="V18" s="97">
        <v>6814000</v>
      </c>
      <c r="X18" s="105"/>
      <c r="Y18" s="105"/>
      <c r="Z18" s="105"/>
    </row>
    <row r="19" spans="1:26" ht="27.75" thickBot="1">
      <c r="A19" s="81" t="s">
        <v>46</v>
      </c>
      <c r="D19" s="95" t="s">
        <v>29</v>
      </c>
      <c r="E19" s="94"/>
      <c r="F19" s="117">
        <v>4154517220</v>
      </c>
      <c r="H19" s="105"/>
      <c r="I19" s="105"/>
      <c r="J19" s="105"/>
      <c r="L19" s="95" t="s">
        <v>29</v>
      </c>
      <c r="M19" s="94"/>
      <c r="N19" s="97">
        <v>63645196</v>
      </c>
      <c r="P19" s="105"/>
      <c r="Q19" s="105"/>
      <c r="R19" s="105"/>
      <c r="T19" s="95" t="s">
        <v>29</v>
      </c>
      <c r="U19" s="94"/>
      <c r="V19" s="97">
        <v>53779000</v>
      </c>
      <c r="X19" s="105"/>
      <c r="Y19" s="105"/>
      <c r="Z19" s="105"/>
    </row>
    <row r="20" spans="1:26" ht="13.5" thickBot="1">
      <c r="A20" s="152">
        <v>2</v>
      </c>
      <c r="B20" s="66"/>
      <c r="C20" s="44"/>
      <c r="D20" s="111" t="s">
        <v>63</v>
      </c>
      <c r="E20" s="103"/>
      <c r="F20" s="118">
        <f>+F17-F19</f>
        <v>4012895071</v>
      </c>
      <c r="H20" s="105" t="s">
        <v>58</v>
      </c>
      <c r="I20" s="106">
        <v>41</v>
      </c>
      <c r="J20" s="107">
        <v>6027652000</v>
      </c>
      <c r="L20" s="111" t="s">
        <v>63</v>
      </c>
      <c r="M20" s="103"/>
      <c r="N20" s="112">
        <f>+N17-N19</f>
        <v>169656716</v>
      </c>
      <c r="P20" s="105" t="s">
        <v>58</v>
      </c>
      <c r="Q20" s="106">
        <v>41</v>
      </c>
      <c r="R20" s="107">
        <v>6027652000</v>
      </c>
      <c r="T20" s="111" t="s">
        <v>63</v>
      </c>
      <c r="U20" s="103"/>
      <c r="V20" s="112">
        <f>+V17-V19</f>
        <v>183532000</v>
      </c>
      <c r="X20" s="105" t="s">
        <v>58</v>
      </c>
      <c r="Y20" s="106">
        <v>41</v>
      </c>
      <c r="Z20" s="107">
        <v>6027652000</v>
      </c>
    </row>
    <row r="21" spans="4:26" ht="13.5" thickBot="1">
      <c r="D21" s="96" t="s">
        <v>45</v>
      </c>
      <c r="E21" s="103"/>
      <c r="F21" s="98">
        <v>0</v>
      </c>
      <c r="H21" s="105"/>
      <c r="I21" s="105"/>
      <c r="J21" s="105"/>
      <c r="L21" s="96" t="s">
        <v>45</v>
      </c>
      <c r="M21" s="103"/>
      <c r="N21" s="98">
        <v>0</v>
      </c>
      <c r="P21" s="105"/>
      <c r="Q21" s="105"/>
      <c r="R21" s="105"/>
      <c r="T21" s="96" t="s">
        <v>45</v>
      </c>
      <c r="U21" s="103"/>
      <c r="V21" s="98">
        <v>0</v>
      </c>
      <c r="X21" s="105"/>
      <c r="Y21" s="105"/>
      <c r="Z21" s="105"/>
    </row>
    <row r="22" spans="4:22" ht="12.75">
      <c r="D22" s="64"/>
      <c r="F22" s="77"/>
      <c r="L22" s="64"/>
      <c r="N22" s="77"/>
      <c r="T22" s="64"/>
      <c r="V22" s="77"/>
    </row>
    <row r="23" spans="4:22" ht="12.75">
      <c r="D23" s="64"/>
      <c r="F23" s="77"/>
      <c r="L23" s="64"/>
      <c r="N23" s="77"/>
      <c r="T23" s="64"/>
      <c r="V23" s="77"/>
    </row>
    <row r="24" spans="4:22" ht="13.5" thickBot="1">
      <c r="D24" s="64" t="s">
        <v>44</v>
      </c>
      <c r="F24" s="77"/>
      <c r="L24" s="64" t="s">
        <v>44</v>
      </c>
      <c r="N24" s="77"/>
      <c r="T24" s="64" t="s">
        <v>44</v>
      </c>
      <c r="V24" s="77"/>
    </row>
    <row r="25" spans="2:26" ht="21.75" customHeight="1" thickBot="1">
      <c r="B25" s="65"/>
      <c r="C25" s="90"/>
      <c r="D25" s="155" t="str">
        <f>+D5</f>
        <v>METALICAS JEP S.A.</v>
      </c>
      <c r="E25" s="156"/>
      <c r="F25" s="156"/>
      <c r="G25" s="156"/>
      <c r="H25" s="156"/>
      <c r="I25" s="156"/>
      <c r="J25" s="157"/>
      <c r="L25" s="155" t="str">
        <f>+L5</f>
        <v>JOTEVE Y COMPAÑÍA LTDA.</v>
      </c>
      <c r="M25" s="156"/>
      <c r="N25" s="156"/>
      <c r="O25" s="156"/>
      <c r="P25" s="156"/>
      <c r="Q25" s="156"/>
      <c r="R25" s="157"/>
      <c r="T25" s="155" t="str">
        <f>+T5</f>
        <v>INGENIERIA SEGURIDAD Y CALIDAD LTDA. ISC AMBIENTAL</v>
      </c>
      <c r="U25" s="156"/>
      <c r="V25" s="156"/>
      <c r="W25" s="156"/>
      <c r="X25" s="156"/>
      <c r="Y25" s="156"/>
      <c r="Z25" s="157"/>
    </row>
    <row r="26" spans="2:26" ht="13.5" thickBot="1">
      <c r="B26" s="66"/>
      <c r="C26" s="67"/>
      <c r="D26" s="65"/>
      <c r="E26" s="84"/>
      <c r="F26" s="84"/>
      <c r="G26" s="84"/>
      <c r="H26" s="84"/>
      <c r="I26" s="84"/>
      <c r="J26" s="85"/>
      <c r="L26" s="65"/>
      <c r="M26" s="84"/>
      <c r="N26" s="84"/>
      <c r="O26" s="84"/>
      <c r="P26" s="84"/>
      <c r="Q26" s="84"/>
      <c r="R26" s="85"/>
      <c r="T26" s="65"/>
      <c r="U26" s="84"/>
      <c r="V26" s="84"/>
      <c r="W26" s="84"/>
      <c r="X26" s="84"/>
      <c r="Y26" s="84"/>
      <c r="Z26" s="85"/>
    </row>
    <row r="27" spans="1:26" ht="12.75">
      <c r="A27" s="160">
        <v>1.5</v>
      </c>
      <c r="B27" s="182" t="s">
        <v>26</v>
      </c>
      <c r="C27" s="183" t="str">
        <f>CONCATENATE(C303,"  ",A27)</f>
        <v>Activo corriente / Pasivo corriente &gt;=   1,5</v>
      </c>
      <c r="D27" s="51" t="s">
        <v>24</v>
      </c>
      <c r="E27" s="44"/>
      <c r="F27" s="50">
        <f>+F16</f>
        <v>5236578770</v>
      </c>
      <c r="G27" s="44"/>
      <c r="H27" s="168">
        <f>+F27/F28</f>
        <v>1.7188230785256313</v>
      </c>
      <c r="I27" s="44"/>
      <c r="J27" s="169" t="str">
        <f>IF(F27="","",IF(H27&gt;=A27,"CUMPLE","NO CUMPLE"))</f>
        <v>CUMPLE</v>
      </c>
      <c r="L27" s="51" t="s">
        <v>24</v>
      </c>
      <c r="M27" s="44"/>
      <c r="N27" s="50">
        <f>+N16</f>
        <v>186727123</v>
      </c>
      <c r="O27" s="44"/>
      <c r="P27" s="168">
        <f>+N27/N28</f>
        <v>11.325649245431322</v>
      </c>
      <c r="Q27" s="44"/>
      <c r="R27" s="169" t="str">
        <f>IF(N27="","",IF(P27&gt;=$A27,"CUMPLE","NO CUMPLE"))</f>
        <v>CUMPLE</v>
      </c>
      <c r="T27" s="51" t="s">
        <v>24</v>
      </c>
      <c r="U27" s="44"/>
      <c r="V27" s="50">
        <f>+V16</f>
        <v>231011000</v>
      </c>
      <c r="W27" s="44"/>
      <c r="X27" s="168">
        <f>+V27/V28</f>
        <v>33.902406809509834</v>
      </c>
      <c r="Y27" s="44"/>
      <c r="Z27" s="169" t="str">
        <f>IF(V27="","",IF(X27&gt;=$A27,"CUMPLE","NO CUMPLE"))</f>
        <v>CUMPLE</v>
      </c>
    </row>
    <row r="28" spans="1:26" ht="13.5" thickBot="1">
      <c r="A28" s="160" t="str">
        <f>VLOOKUP($A$14,COMBINACIONES!$B$4:$H$20,3,0)</f>
        <v>Proveeduría de bienes.</v>
      </c>
      <c r="B28" s="182"/>
      <c r="C28" s="183"/>
      <c r="D28" s="52" t="s">
        <v>25</v>
      </c>
      <c r="E28" s="44"/>
      <c r="F28" s="63">
        <f>+F18</f>
        <v>3046607202</v>
      </c>
      <c r="G28" s="44"/>
      <c r="H28" s="168"/>
      <c r="I28" s="44"/>
      <c r="J28" s="169"/>
      <c r="L28" s="52" t="s">
        <v>25</v>
      </c>
      <c r="M28" s="44"/>
      <c r="N28" s="63">
        <f>+N18</f>
        <v>16487101</v>
      </c>
      <c r="O28" s="44"/>
      <c r="P28" s="168"/>
      <c r="Q28" s="44"/>
      <c r="R28" s="169"/>
      <c r="T28" s="52" t="s">
        <v>25</v>
      </c>
      <c r="U28" s="44"/>
      <c r="V28" s="63">
        <f>+V18</f>
        <v>6814000</v>
      </c>
      <c r="W28" s="44"/>
      <c r="X28" s="168"/>
      <c r="Y28" s="44"/>
      <c r="Z28" s="169"/>
    </row>
    <row r="29" spans="1:26" ht="13.5" thickBot="1">
      <c r="A29" s="59"/>
      <c r="B29" s="66"/>
      <c r="C29" s="67"/>
      <c r="D29" s="66"/>
      <c r="E29" s="44"/>
      <c r="F29" s="44"/>
      <c r="G29" s="44"/>
      <c r="H29" s="44"/>
      <c r="I29" s="44"/>
      <c r="J29" s="68"/>
      <c r="L29" s="66"/>
      <c r="M29" s="44"/>
      <c r="N29" s="44"/>
      <c r="O29" s="44"/>
      <c r="P29" s="44"/>
      <c r="Q29" s="44"/>
      <c r="R29" s="68"/>
      <c r="T29" s="66"/>
      <c r="U29" s="44"/>
      <c r="V29" s="44"/>
      <c r="W29" s="44"/>
      <c r="X29" s="44"/>
      <c r="Y29" s="44"/>
      <c r="Z29" s="68"/>
    </row>
    <row r="30" spans="1:26" ht="12.75">
      <c r="A30" s="161">
        <v>0.6</v>
      </c>
      <c r="B30" s="182" t="s">
        <v>27</v>
      </c>
      <c r="C30" s="183" t="str">
        <f>CONCATENATE(C304,"  ",A30)</f>
        <v>Pasivo total / Activo total  &lt;=   0,6</v>
      </c>
      <c r="D30" s="51" t="s">
        <v>29</v>
      </c>
      <c r="E30" s="44"/>
      <c r="F30" s="50">
        <f>+F19</f>
        <v>4154517220</v>
      </c>
      <c r="G30" s="44"/>
      <c r="H30" s="176">
        <f>+F30/F31</f>
        <v>0.5086699522415478</v>
      </c>
      <c r="I30" s="44"/>
      <c r="J30" s="169" t="str">
        <f>IF(F30="","",IF(H30&lt;=A30,"CUMPLE","NO CUMPLE"))</f>
        <v>CUMPLE</v>
      </c>
      <c r="L30" s="51" t="s">
        <v>29</v>
      </c>
      <c r="M30" s="44"/>
      <c r="N30" s="50">
        <f>+N19</f>
        <v>63645196</v>
      </c>
      <c r="O30" s="44"/>
      <c r="P30" s="176">
        <f>+N30/N31</f>
        <v>0.2728018619924555</v>
      </c>
      <c r="Q30" s="44"/>
      <c r="R30" s="169" t="str">
        <f>IF(N30="","",IF(P30&lt;=$A30,"CUMPLE","NO CUMPLE"))</f>
        <v>CUMPLE</v>
      </c>
      <c r="T30" s="51" t="s">
        <v>29</v>
      </c>
      <c r="U30" s="44"/>
      <c r="V30" s="50">
        <f>+V19</f>
        <v>53779000</v>
      </c>
      <c r="W30" s="44"/>
      <c r="X30" s="176">
        <f>+V30/V31</f>
        <v>0.22661823514291374</v>
      </c>
      <c r="Y30" s="44"/>
      <c r="Z30" s="169" t="str">
        <f>IF(V30="","",IF(X30&lt;=$A30,"CUMPLE","NO CUMPLE"))</f>
        <v>CUMPLE</v>
      </c>
    </row>
    <row r="31" spans="1:26" ht="13.5" thickBot="1">
      <c r="A31" s="162" t="str">
        <f>VLOOKUP($A$14,COMBINACIONES!$B$4:$H$20,3,0)</f>
        <v>Proveeduría de bienes.</v>
      </c>
      <c r="B31" s="182"/>
      <c r="C31" s="183"/>
      <c r="D31" s="52" t="s">
        <v>28</v>
      </c>
      <c r="E31" s="44"/>
      <c r="F31" s="63">
        <f>+F17</f>
        <v>8167412291</v>
      </c>
      <c r="G31" s="44"/>
      <c r="H31" s="176"/>
      <c r="I31" s="44"/>
      <c r="J31" s="169"/>
      <c r="L31" s="52" t="s">
        <v>28</v>
      </c>
      <c r="M31" s="44"/>
      <c r="N31" s="63">
        <f>+N17</f>
        <v>233301912</v>
      </c>
      <c r="O31" s="44"/>
      <c r="P31" s="176"/>
      <c r="Q31" s="44"/>
      <c r="R31" s="169"/>
      <c r="T31" s="52" t="s">
        <v>28</v>
      </c>
      <c r="U31" s="44"/>
      <c r="V31" s="63">
        <f>+V17</f>
        <v>237311000</v>
      </c>
      <c r="W31" s="44"/>
      <c r="X31" s="176"/>
      <c r="Y31" s="44"/>
      <c r="Z31" s="169"/>
    </row>
    <row r="32" spans="1:26" ht="13.5" thickBot="1">
      <c r="A32" s="59"/>
      <c r="B32" s="66"/>
      <c r="C32" s="67"/>
      <c r="D32" s="66"/>
      <c r="E32" s="44"/>
      <c r="F32" s="44"/>
      <c r="G32" s="44"/>
      <c r="H32" s="44"/>
      <c r="I32" s="44"/>
      <c r="J32" s="68"/>
      <c r="L32" s="66"/>
      <c r="M32" s="44"/>
      <c r="N32" s="44"/>
      <c r="O32" s="44"/>
      <c r="P32" s="44"/>
      <c r="Q32" s="44"/>
      <c r="R32" s="68"/>
      <c r="T32" s="66"/>
      <c r="U32" s="44"/>
      <c r="V32" s="44"/>
      <c r="W32" s="44"/>
      <c r="X32" s="44"/>
      <c r="Y32" s="44"/>
      <c r="Z32" s="68"/>
    </row>
    <row r="33" spans="1:26" ht="12.75" customHeight="1">
      <c r="A33" s="163">
        <v>0.5</v>
      </c>
      <c r="B33" s="190" t="s">
        <v>34</v>
      </c>
      <c r="C33" s="194" t="str">
        <f>CONCATENATE(C305," ",A33," ",D305,F305,H305)</f>
        <v>(Activo corriente - Pasivo corriente) - (   0,5  * Presupuesto Oficial) = SCT</v>
      </c>
      <c r="D33" s="53" t="s">
        <v>36</v>
      </c>
      <c r="E33" s="44"/>
      <c r="F33" s="50">
        <f>+F27-F28</f>
        <v>2189971568</v>
      </c>
      <c r="G33" s="44"/>
      <c r="H33" s="170">
        <f>+(F33)-(F35*F34)</f>
        <v>1574585663.5</v>
      </c>
      <c r="I33" s="44"/>
      <c r="J33" s="173" t="str">
        <f>IF(H33&gt;=0,"CUMPLE","NO CUMPLE")</f>
        <v>CUMPLE</v>
      </c>
      <c r="L33" s="53" t="s">
        <v>36</v>
      </c>
      <c r="M33" s="44"/>
      <c r="N33" s="50">
        <f>+N27-N28</f>
        <v>170240022</v>
      </c>
      <c r="O33" s="44"/>
      <c r="P33" s="170">
        <f>+(N33)-(N35*N34)</f>
        <v>-445145882.5</v>
      </c>
      <c r="Q33" s="44"/>
      <c r="R33" s="173" t="str">
        <f>IF(P33&gt;=0,"CUMPLE","NO CUMPLE")</f>
        <v>NO CUMPLE</v>
      </c>
      <c r="T33" s="53" t="s">
        <v>36</v>
      </c>
      <c r="U33" s="44"/>
      <c r="V33" s="50">
        <f>+V27-V28</f>
        <v>224197000</v>
      </c>
      <c r="W33" s="44"/>
      <c r="X33" s="170">
        <f>+(V33)-(V35*V34)</f>
        <v>-391188904.5</v>
      </c>
      <c r="Y33" s="44"/>
      <c r="Z33" s="173" t="str">
        <f>IF(X33&gt;=0,"CUMPLE","NO CUMPLE")</f>
        <v>NO CUMPLE</v>
      </c>
    </row>
    <row r="34" spans="1:26" ht="12.75">
      <c r="A34" s="163"/>
      <c r="B34" s="191"/>
      <c r="C34" s="194"/>
      <c r="D34" s="73" t="str">
        <f>+$B$17</f>
        <v>Presupuesto Oficial</v>
      </c>
      <c r="E34" s="44"/>
      <c r="F34" s="74">
        <f>IF($B17="Presupuesto",$C$17,J3)</f>
        <v>1230771809</v>
      </c>
      <c r="G34" s="44"/>
      <c r="H34" s="171"/>
      <c r="I34" s="44"/>
      <c r="J34" s="174"/>
      <c r="L34" s="73" t="str">
        <f>+$B$17</f>
        <v>Presupuesto Oficial</v>
      </c>
      <c r="M34" s="44"/>
      <c r="N34" s="74">
        <f>IF($B17="Presupuesto",$C$17,R3)</f>
        <v>1230771809</v>
      </c>
      <c r="O34" s="44"/>
      <c r="P34" s="171"/>
      <c r="Q34" s="44"/>
      <c r="R34" s="174"/>
      <c r="T34" s="73" t="str">
        <f>+$B$17</f>
        <v>Presupuesto Oficial</v>
      </c>
      <c r="U34" s="44"/>
      <c r="V34" s="74">
        <f>IF($B17="Presupuesto",$C$17,Z3)</f>
        <v>1230771809</v>
      </c>
      <c r="W34" s="44"/>
      <c r="X34" s="171"/>
      <c r="Y34" s="44"/>
      <c r="Z34" s="174"/>
    </row>
    <row r="35" spans="1:26" ht="13.5" thickBot="1">
      <c r="A35" s="163"/>
      <c r="B35" s="192"/>
      <c r="C35" s="194"/>
      <c r="D35" s="82" t="s">
        <v>40</v>
      </c>
      <c r="E35" s="44"/>
      <c r="F35" s="83">
        <f>+$A$33</f>
        <v>0.5</v>
      </c>
      <c r="G35" s="44"/>
      <c r="H35" s="172"/>
      <c r="I35" s="44"/>
      <c r="J35" s="175"/>
      <c r="L35" s="82" t="s">
        <v>40</v>
      </c>
      <c r="M35" s="44"/>
      <c r="N35" s="83">
        <f>+$A$33</f>
        <v>0.5</v>
      </c>
      <c r="O35" s="44"/>
      <c r="P35" s="172"/>
      <c r="Q35" s="44"/>
      <c r="R35" s="175"/>
      <c r="T35" s="82" t="s">
        <v>40</v>
      </c>
      <c r="U35" s="44"/>
      <c r="V35" s="83">
        <f>+$A$33</f>
        <v>0.5</v>
      </c>
      <c r="W35" s="44"/>
      <c r="X35" s="172"/>
      <c r="Y35" s="44"/>
      <c r="Z35" s="175"/>
    </row>
    <row r="36" spans="1:26" ht="12.75">
      <c r="A36" s="59"/>
      <c r="B36" s="69"/>
      <c r="C36" s="91"/>
      <c r="D36" s="66"/>
      <c r="E36" s="44"/>
      <c r="F36" s="57"/>
      <c r="G36" s="44"/>
      <c r="H36" s="56"/>
      <c r="I36" s="44"/>
      <c r="J36" s="70"/>
      <c r="L36" s="66"/>
      <c r="M36" s="44"/>
      <c r="N36" s="57"/>
      <c r="O36" s="44"/>
      <c r="P36" s="56"/>
      <c r="Q36" s="44"/>
      <c r="R36" s="70"/>
      <c r="T36" s="66"/>
      <c r="U36" s="44"/>
      <c r="V36" s="57"/>
      <c r="W36" s="44"/>
      <c r="X36" s="56"/>
      <c r="Y36" s="44"/>
      <c r="Z36" s="70"/>
    </row>
    <row r="37" spans="1:26" ht="13.5" thickBot="1">
      <c r="A37" s="59"/>
      <c r="B37" s="66"/>
      <c r="C37" s="67"/>
      <c r="D37" s="66"/>
      <c r="E37" s="44"/>
      <c r="F37" s="44"/>
      <c r="G37" s="44"/>
      <c r="H37" s="44"/>
      <c r="I37" s="44"/>
      <c r="J37" s="67"/>
      <c r="L37" s="66"/>
      <c r="M37" s="44"/>
      <c r="N37" s="44"/>
      <c r="O37" s="44"/>
      <c r="P37" s="44"/>
      <c r="Q37" s="44"/>
      <c r="R37" s="67"/>
      <c r="T37" s="66"/>
      <c r="U37" s="44"/>
      <c r="V37" s="44"/>
      <c r="W37" s="44"/>
      <c r="X37" s="44"/>
      <c r="Y37" s="44"/>
      <c r="Z37" s="67"/>
    </row>
    <row r="38" spans="1:26" ht="15" customHeight="1">
      <c r="A38" s="164">
        <v>0.7</v>
      </c>
      <c r="B38" s="190" t="s">
        <v>35</v>
      </c>
      <c r="C38" s="193" t="str">
        <f>CONCATENATE("(",A38,C306,D306,F306)</f>
        <v>(0,7XPresupuesto Oficial)  = &lt; RP</v>
      </c>
      <c r="D38" s="45" t="s">
        <v>40</v>
      </c>
      <c r="E38" s="44"/>
      <c r="F38" s="115">
        <f>+$A38</f>
        <v>0.7</v>
      </c>
      <c r="G38" s="44"/>
      <c r="H38" s="187">
        <f>F42-(F40*F38)</f>
        <v>3151354804.7</v>
      </c>
      <c r="I38" s="44"/>
      <c r="J38" s="173" t="str">
        <f>IF(H38&gt;=0,"CUMPLE","NO CUMPLE")</f>
        <v>CUMPLE</v>
      </c>
      <c r="L38" s="45" t="s">
        <v>40</v>
      </c>
      <c r="M38" s="44"/>
      <c r="N38" s="115">
        <f>+$A38</f>
        <v>0.7</v>
      </c>
      <c r="O38" s="44"/>
      <c r="P38" s="187">
        <f>N42-(N40*N38)</f>
        <v>-691883550.3</v>
      </c>
      <c r="Q38" s="44"/>
      <c r="R38" s="173" t="str">
        <f>IF(P38&gt;=0,"CUMPLE","NO CUMPLE")</f>
        <v>NO CUMPLE</v>
      </c>
      <c r="T38" s="45" t="s">
        <v>40</v>
      </c>
      <c r="U38" s="44"/>
      <c r="V38" s="115">
        <f>+$A38</f>
        <v>0.7</v>
      </c>
      <c r="W38" s="44"/>
      <c r="X38" s="187">
        <f>V42-(V40*V38)</f>
        <v>-678008266.3</v>
      </c>
      <c r="Y38" s="44"/>
      <c r="Z38" s="173" t="str">
        <f>IF(X38&gt;=0,"CUMPLE","NO CUMPLE")</f>
        <v>NO CUMPLE</v>
      </c>
    </row>
    <row r="39" spans="1:26" ht="15" customHeight="1">
      <c r="A39" s="164"/>
      <c r="B39" s="191"/>
      <c r="C39" s="193"/>
      <c r="D39" s="54" t="s">
        <v>37</v>
      </c>
      <c r="E39" s="44"/>
      <c r="F39" s="49">
        <f>+F6</f>
        <v>0.34</v>
      </c>
      <c r="G39" s="44"/>
      <c r="H39" s="187"/>
      <c r="I39" s="44"/>
      <c r="J39" s="174"/>
      <c r="L39" s="54" t="s">
        <v>37</v>
      </c>
      <c r="M39" s="44"/>
      <c r="N39" s="49">
        <f>+N6</f>
        <v>0.33</v>
      </c>
      <c r="O39" s="44"/>
      <c r="P39" s="187"/>
      <c r="Q39" s="44"/>
      <c r="R39" s="174"/>
      <c r="T39" s="54" t="s">
        <v>37</v>
      </c>
      <c r="U39" s="44"/>
      <c r="V39" s="49">
        <f>+V6</f>
        <v>0.33</v>
      </c>
      <c r="W39" s="44"/>
      <c r="X39" s="187"/>
      <c r="Y39" s="44"/>
      <c r="Z39" s="174"/>
    </row>
    <row r="40" spans="1:26" ht="15" customHeight="1">
      <c r="A40" s="164"/>
      <c r="B40" s="191"/>
      <c r="C40" s="193"/>
      <c r="D40" s="76" t="str">
        <f>+D34</f>
        <v>Presupuesto Oficial</v>
      </c>
      <c r="E40" s="44"/>
      <c r="F40" s="75">
        <f>+F34</f>
        <v>1230771809</v>
      </c>
      <c r="G40" s="44"/>
      <c r="H40" s="187"/>
      <c r="I40" s="44"/>
      <c r="J40" s="174"/>
      <c r="L40" s="76" t="str">
        <f>+L34</f>
        <v>Presupuesto Oficial</v>
      </c>
      <c r="M40" s="44"/>
      <c r="N40" s="75">
        <f>+N34</f>
        <v>1230771809</v>
      </c>
      <c r="O40" s="44"/>
      <c r="P40" s="187"/>
      <c r="Q40" s="44"/>
      <c r="R40" s="174"/>
      <c r="T40" s="76" t="str">
        <f>+T34</f>
        <v>Presupuesto Oficial</v>
      </c>
      <c r="U40" s="44"/>
      <c r="V40" s="75">
        <f>+V34</f>
        <v>1230771809</v>
      </c>
      <c r="W40" s="44"/>
      <c r="X40" s="187"/>
      <c r="Y40" s="44"/>
      <c r="Z40" s="174"/>
    </row>
    <row r="41" spans="1:26" ht="12.75">
      <c r="A41" s="164"/>
      <c r="B41" s="191"/>
      <c r="C41" s="193"/>
      <c r="D41" s="86" t="str">
        <f>CONCATENATE("Participación en ",D40)</f>
        <v>Participación en Presupuesto Oficial</v>
      </c>
      <c r="E41" s="44"/>
      <c r="F41" s="58">
        <f>+F39*F40</f>
        <v>418462415.06</v>
      </c>
      <c r="G41" s="44"/>
      <c r="H41" s="187"/>
      <c r="I41" s="44"/>
      <c r="J41" s="174"/>
      <c r="L41" s="86" t="str">
        <f>CONCATENATE("Participación en ",L40)</f>
        <v>Participación en Presupuesto Oficial</v>
      </c>
      <c r="M41" s="44"/>
      <c r="N41" s="58">
        <f>+N39*N40</f>
        <v>406154696.97</v>
      </c>
      <c r="O41" s="44"/>
      <c r="P41" s="187"/>
      <c r="Q41" s="44"/>
      <c r="R41" s="174"/>
      <c r="T41" s="86" t="str">
        <f>CONCATENATE("Participación en ",T40)</f>
        <v>Participación en Presupuesto Oficial</v>
      </c>
      <c r="U41" s="44"/>
      <c r="V41" s="58">
        <f>+V39*V40</f>
        <v>406154696.97</v>
      </c>
      <c r="W41" s="44"/>
      <c r="X41" s="187"/>
      <c r="Y41" s="44"/>
      <c r="Z41" s="174"/>
    </row>
    <row r="42" spans="1:26" ht="13.5" thickBot="1">
      <c r="A42" s="164"/>
      <c r="B42" s="192"/>
      <c r="C42" s="193"/>
      <c r="D42" s="46" t="s">
        <v>41</v>
      </c>
      <c r="E42" s="44"/>
      <c r="F42" s="48">
        <f>+F17-F19</f>
        <v>4012895071</v>
      </c>
      <c r="G42" s="44"/>
      <c r="H42" s="187"/>
      <c r="I42" s="44"/>
      <c r="J42" s="175"/>
      <c r="L42" s="46" t="s">
        <v>41</v>
      </c>
      <c r="M42" s="44"/>
      <c r="N42" s="48">
        <f>+N17-N19</f>
        <v>169656716</v>
      </c>
      <c r="O42" s="44"/>
      <c r="P42" s="187"/>
      <c r="Q42" s="44"/>
      <c r="R42" s="175"/>
      <c r="T42" s="46" t="s">
        <v>41</v>
      </c>
      <c r="U42" s="44"/>
      <c r="V42" s="48">
        <f>+V17-V19</f>
        <v>183532000</v>
      </c>
      <c r="W42" s="44"/>
      <c r="X42" s="187"/>
      <c r="Y42" s="44"/>
      <c r="Z42" s="175"/>
    </row>
    <row r="43" spans="1:26" ht="13.5" thickBot="1">
      <c r="A43" s="59"/>
      <c r="B43" s="71"/>
      <c r="C43" s="72"/>
      <c r="D43" s="71"/>
      <c r="E43" s="43"/>
      <c r="F43" s="43"/>
      <c r="G43" s="43"/>
      <c r="H43" s="43"/>
      <c r="I43" s="43"/>
      <c r="J43" s="72"/>
      <c r="L43" s="71"/>
      <c r="M43" s="43"/>
      <c r="N43" s="43"/>
      <c r="O43" s="43"/>
      <c r="P43" s="43"/>
      <c r="Q43" s="43"/>
      <c r="R43" s="72"/>
      <c r="T43" s="71"/>
      <c r="U43" s="43"/>
      <c r="V43" s="43"/>
      <c r="W43" s="43"/>
      <c r="X43" s="43"/>
      <c r="Y43" s="43"/>
      <c r="Z43" s="72"/>
    </row>
    <row r="44" ht="13.5" thickBot="1"/>
    <row r="45" spans="4:26" ht="12.75">
      <c r="D45" s="65" t="s">
        <v>68</v>
      </c>
      <c r="E45" s="84"/>
      <c r="F45" s="84"/>
      <c r="G45" s="84"/>
      <c r="H45" s="84"/>
      <c r="I45" s="84"/>
      <c r="J45" s="85"/>
      <c r="L45" s="65" t="s">
        <v>68</v>
      </c>
      <c r="M45" s="84"/>
      <c r="N45" s="84"/>
      <c r="O45" s="84"/>
      <c r="P45" s="84"/>
      <c r="Q45" s="84"/>
      <c r="R45" s="85"/>
      <c r="T45" s="65" t="s">
        <v>68</v>
      </c>
      <c r="U45" s="84"/>
      <c r="V45" s="84"/>
      <c r="W45" s="84"/>
      <c r="X45" s="84"/>
      <c r="Y45" s="84"/>
      <c r="Z45" s="85"/>
    </row>
    <row r="46" spans="4:26" ht="12.75">
      <c r="D46" s="66"/>
      <c r="E46" s="44"/>
      <c r="F46" s="44"/>
      <c r="G46" s="44"/>
      <c r="H46" s="44"/>
      <c r="I46" s="44"/>
      <c r="J46" s="67"/>
      <c r="L46" s="66"/>
      <c r="M46" s="44"/>
      <c r="N46" s="44"/>
      <c r="O46" s="44"/>
      <c r="P46" s="44"/>
      <c r="Q46" s="44"/>
      <c r="R46" s="67"/>
      <c r="T46" s="66"/>
      <c r="U46" s="44"/>
      <c r="V46" s="44"/>
      <c r="W46" s="44"/>
      <c r="X46" s="44"/>
      <c r="Y46" s="44"/>
      <c r="Z46" s="67"/>
    </row>
    <row r="47" spans="4:26" ht="12.75">
      <c r="D47" s="66"/>
      <c r="E47" s="44"/>
      <c r="F47" s="44"/>
      <c r="G47" s="44"/>
      <c r="H47" s="44"/>
      <c r="I47" s="44"/>
      <c r="J47" s="67"/>
      <c r="L47" s="66"/>
      <c r="M47" s="44"/>
      <c r="N47" s="44"/>
      <c r="O47" s="44"/>
      <c r="P47" s="44"/>
      <c r="Q47" s="44"/>
      <c r="R47" s="67"/>
      <c r="T47" s="66"/>
      <c r="U47" s="44"/>
      <c r="V47" s="44"/>
      <c r="W47" s="44"/>
      <c r="X47" s="44"/>
      <c r="Y47" s="44"/>
      <c r="Z47" s="67"/>
    </row>
    <row r="48" spans="4:26" ht="13.5" thickBot="1">
      <c r="D48" s="71"/>
      <c r="E48" s="43"/>
      <c r="F48" s="43"/>
      <c r="G48" s="43"/>
      <c r="H48" s="43"/>
      <c r="I48" s="43"/>
      <c r="J48" s="72"/>
      <c r="L48" s="71"/>
      <c r="M48" s="43"/>
      <c r="N48" s="43"/>
      <c r="O48" s="43"/>
      <c r="P48" s="43"/>
      <c r="Q48" s="43"/>
      <c r="R48" s="72"/>
      <c r="T48" s="71"/>
      <c r="U48" s="43"/>
      <c r="V48" s="43"/>
      <c r="W48" s="43"/>
      <c r="X48" s="43"/>
      <c r="Y48" s="43"/>
      <c r="Z48" s="72"/>
    </row>
    <row r="50" ht="146.25" customHeight="1"/>
    <row r="52" ht="13.5" thickBot="1"/>
    <row r="53" spans="2:10" ht="13.5" thickBot="1">
      <c r="B53" s="65"/>
      <c r="C53" s="90"/>
      <c r="D53" s="155" t="s">
        <v>100</v>
      </c>
      <c r="E53" s="156"/>
      <c r="F53" s="156"/>
      <c r="G53" s="156"/>
      <c r="H53" s="156"/>
      <c r="I53" s="156"/>
      <c r="J53" s="157"/>
    </row>
    <row r="54" spans="2:10" ht="13.5" thickBot="1">
      <c r="B54" s="66"/>
      <c r="C54" s="67"/>
      <c r="D54" s="65"/>
      <c r="E54" s="84"/>
      <c r="F54" s="84"/>
      <c r="G54" s="84"/>
      <c r="H54" s="84"/>
      <c r="I54" s="84"/>
      <c r="J54" s="85"/>
    </row>
    <row r="55" spans="1:10" ht="12.75">
      <c r="A55" s="160">
        <v>1.5</v>
      </c>
      <c r="B55" s="182" t="s">
        <v>26</v>
      </c>
      <c r="C55" s="183" t="str">
        <f>+C27</f>
        <v>Activo corriente / Pasivo corriente &gt;=   1,5</v>
      </c>
      <c r="D55" s="51" t="s">
        <v>24</v>
      </c>
      <c r="E55" s="44"/>
      <c r="F55" s="50">
        <f>+F27+N27+V27</f>
        <v>5654316893</v>
      </c>
      <c r="G55" s="44"/>
      <c r="H55" s="168">
        <f>+F55/F56</f>
        <v>1.8418520473313302</v>
      </c>
      <c r="I55" s="44"/>
      <c r="J55" s="169" t="str">
        <f>IF(F55="","",IF(H55&gt;=A27,"CUMPLE","NO CUMPLE"))</f>
        <v>CUMPLE</v>
      </c>
    </row>
    <row r="56" spans="1:10" ht="13.5" thickBot="1">
      <c r="A56" s="160" t="str">
        <f>VLOOKUP($A$14,COMBINACIONES!$B$4:$H$20,3,0)</f>
        <v>Proveeduría de bienes.</v>
      </c>
      <c r="B56" s="182"/>
      <c r="C56" s="183"/>
      <c r="D56" s="52" t="s">
        <v>25</v>
      </c>
      <c r="E56" s="44"/>
      <c r="F56" s="63">
        <f>+F28+N28+V28</f>
        <v>3069908303</v>
      </c>
      <c r="G56" s="44"/>
      <c r="H56" s="168"/>
      <c r="I56" s="44"/>
      <c r="J56" s="169"/>
    </row>
    <row r="57" spans="1:10" ht="13.5" thickBot="1">
      <c r="A57" s="59"/>
      <c r="B57" s="66"/>
      <c r="C57" s="67"/>
      <c r="D57" s="66"/>
      <c r="E57" s="44"/>
      <c r="F57" s="44"/>
      <c r="G57" s="44"/>
      <c r="H57" s="44"/>
      <c r="I57" s="44"/>
      <c r="J57" s="68"/>
    </row>
    <row r="58" spans="1:10" ht="12.75">
      <c r="A58" s="161">
        <v>0.6</v>
      </c>
      <c r="B58" s="125" t="s">
        <v>27</v>
      </c>
      <c r="C58" s="127" t="str">
        <f>+C30</f>
        <v>Pasivo total / Activo total  &lt;=   0,6</v>
      </c>
      <c r="D58" s="51" t="s">
        <v>29</v>
      </c>
      <c r="E58" s="44"/>
      <c r="F58" s="50">
        <f>+F30+N30+V30</f>
        <v>4271941416</v>
      </c>
      <c r="G58" s="44"/>
      <c r="H58" s="168">
        <f>+F58/F59</f>
        <v>0.49455070060647055</v>
      </c>
      <c r="I58" s="44"/>
      <c r="J58" s="169" t="str">
        <f>IF(F58="","",IF(H58&lt;=A30,"CUMPLE","NO CUMPLE"))</f>
        <v>CUMPLE</v>
      </c>
    </row>
    <row r="59" spans="1:10" ht="13.5" thickBot="1">
      <c r="A59" s="162" t="str">
        <f>VLOOKUP($A$14,COMBINACIONES!$B$4:$H$20,3,0)</f>
        <v>Proveeduría de bienes.</v>
      </c>
      <c r="B59" s="125"/>
      <c r="C59" s="127"/>
      <c r="D59" s="52" t="s">
        <v>28</v>
      </c>
      <c r="E59" s="44"/>
      <c r="F59" s="63">
        <f>+F31+N31+V31</f>
        <v>8638025203</v>
      </c>
      <c r="G59" s="44"/>
      <c r="H59" s="168"/>
      <c r="I59" s="44"/>
      <c r="J59" s="169"/>
    </row>
    <row r="60" spans="1:10" ht="13.5" thickBot="1">
      <c r="A60" s="59"/>
      <c r="B60" s="66"/>
      <c r="C60" s="67"/>
      <c r="D60" s="66"/>
      <c r="E60" s="44"/>
      <c r="F60" s="44"/>
      <c r="G60" s="44"/>
      <c r="H60" s="44"/>
      <c r="I60" s="44"/>
      <c r="J60" s="68"/>
    </row>
    <row r="61" spans="1:12" ht="25.5">
      <c r="A61" s="163">
        <v>0.5</v>
      </c>
      <c r="B61" s="122" t="s">
        <v>34</v>
      </c>
      <c r="C61" s="126" t="str">
        <f>+C33</f>
        <v>(Activo corriente - Pasivo corriente) - (   0,5  * Presupuesto Oficial) = SCT</v>
      </c>
      <c r="D61" s="53" t="s">
        <v>36</v>
      </c>
      <c r="E61" s="44"/>
      <c r="F61" s="50">
        <f>+F55-F56</f>
        <v>2584408590</v>
      </c>
      <c r="G61" s="44"/>
      <c r="H61" s="170">
        <f>+(F61)-(F63*F62)</f>
        <v>1969022685.5</v>
      </c>
      <c r="I61" s="44"/>
      <c r="J61" s="119" t="str">
        <f>IF(H61&gt;=0,"CUMPLE","NO CUMPLE")</f>
        <v>CUMPLE</v>
      </c>
      <c r="L61" s="159">
        <f>+F33+N33+V33</f>
        <v>2584408590</v>
      </c>
    </row>
    <row r="62" spans="1:10" ht="12.75">
      <c r="A62" s="163"/>
      <c r="B62" s="123"/>
      <c r="C62" s="126"/>
      <c r="D62" s="73" t="str">
        <f>+$B$17</f>
        <v>Presupuesto Oficial</v>
      </c>
      <c r="E62" s="44"/>
      <c r="F62" s="74">
        <f>+F40</f>
        <v>1230771809</v>
      </c>
      <c r="G62" s="44"/>
      <c r="H62" s="171"/>
      <c r="I62" s="44"/>
      <c r="J62" s="120"/>
    </row>
    <row r="63" spans="1:10" ht="13.5" thickBot="1">
      <c r="A63" s="163"/>
      <c r="B63" s="124"/>
      <c r="C63" s="126"/>
      <c r="D63" s="82" t="s">
        <v>40</v>
      </c>
      <c r="E63" s="44"/>
      <c r="F63" s="83">
        <f>+$A$33</f>
        <v>0.5</v>
      </c>
      <c r="G63" s="44"/>
      <c r="H63" s="172"/>
      <c r="I63" s="44"/>
      <c r="J63" s="121"/>
    </row>
    <row r="64" spans="1:10" ht="12.75">
      <c r="A64" s="59"/>
      <c r="B64" s="69"/>
      <c r="C64" s="91"/>
      <c r="D64" s="66"/>
      <c r="E64" s="44"/>
      <c r="F64" s="57"/>
      <c r="G64" s="44"/>
      <c r="H64" s="56"/>
      <c r="I64" s="44"/>
      <c r="J64" s="70"/>
    </row>
    <row r="65" spans="1:10" ht="13.5" thickBot="1">
      <c r="A65" s="59"/>
      <c r="B65" s="66"/>
      <c r="C65" s="67"/>
      <c r="D65" s="66"/>
      <c r="E65" s="44"/>
      <c r="F65" s="44"/>
      <c r="G65" s="44"/>
      <c r="H65" s="44"/>
      <c r="I65" s="44"/>
      <c r="J65" s="67"/>
    </row>
    <row r="66" spans="1:10" ht="33.75">
      <c r="A66" s="164">
        <v>0.7</v>
      </c>
      <c r="B66" s="122" t="s">
        <v>35</v>
      </c>
      <c r="C66" s="184" t="str">
        <f>+C38</f>
        <v>(0,7XPresupuesto Oficial)  = &lt; RP</v>
      </c>
      <c r="D66" s="45" t="s">
        <v>40</v>
      </c>
      <c r="E66" s="44"/>
      <c r="F66" s="115">
        <f>+$A38</f>
        <v>0.7</v>
      </c>
      <c r="G66" s="44"/>
      <c r="H66" s="187">
        <f>F70-(F68*F66)</f>
        <v>3504543520.7</v>
      </c>
      <c r="I66" s="44"/>
      <c r="J66" s="173" t="str">
        <f>IF(H66&gt;=0,"CUMPLE","NO CUMPLE")</f>
        <v>CUMPLE</v>
      </c>
    </row>
    <row r="67" spans="1:10" ht="12.75">
      <c r="A67" s="164"/>
      <c r="B67" s="123"/>
      <c r="C67" s="185"/>
      <c r="D67" s="54" t="s">
        <v>37</v>
      </c>
      <c r="E67" s="44"/>
      <c r="F67" s="150">
        <f>+F6+N6+V6</f>
        <v>1</v>
      </c>
      <c r="G67" s="44"/>
      <c r="H67" s="187"/>
      <c r="I67" s="44"/>
      <c r="J67" s="174"/>
    </row>
    <row r="68" spans="1:10" ht="12.75">
      <c r="A68" s="164"/>
      <c r="B68" s="123"/>
      <c r="C68" s="185"/>
      <c r="D68" s="76" t="str">
        <f>+D62</f>
        <v>Presupuesto Oficial</v>
      </c>
      <c r="E68" s="44"/>
      <c r="F68" s="75">
        <f>+F62</f>
        <v>1230771809</v>
      </c>
      <c r="G68" s="44"/>
      <c r="H68" s="187"/>
      <c r="I68" s="44"/>
      <c r="J68" s="174"/>
    </row>
    <row r="69" spans="1:10" ht="12.75">
      <c r="A69" s="164"/>
      <c r="B69" s="123"/>
      <c r="C69" s="185"/>
      <c r="D69" s="86" t="str">
        <f>CONCATENATE("Participación en ",D68)</f>
        <v>Participación en Presupuesto Oficial</v>
      </c>
      <c r="E69" s="44"/>
      <c r="F69" s="158">
        <f>+F66*F68</f>
        <v>861540266.3</v>
      </c>
      <c r="G69" s="44"/>
      <c r="H69" s="187"/>
      <c r="I69" s="44"/>
      <c r="J69" s="174"/>
    </row>
    <row r="70" spans="1:10" ht="13.5" thickBot="1">
      <c r="A70" s="164"/>
      <c r="B70" s="124"/>
      <c r="C70" s="186"/>
      <c r="D70" s="46" t="s">
        <v>41</v>
      </c>
      <c r="E70" s="44"/>
      <c r="F70" s="48">
        <f>+F59-F58</f>
        <v>4366083787</v>
      </c>
      <c r="G70" s="44"/>
      <c r="H70" s="187"/>
      <c r="I70" s="44"/>
      <c r="J70" s="175"/>
    </row>
    <row r="71" spans="2:10" ht="13.5" thickBot="1">
      <c r="B71" s="71"/>
      <c r="C71" s="72"/>
      <c r="D71" s="71"/>
      <c r="E71" s="43"/>
      <c r="F71" s="43"/>
      <c r="G71" s="43"/>
      <c r="H71" s="43"/>
      <c r="I71" s="43"/>
      <c r="J71" s="72"/>
    </row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>
      <c r="C303" s="60" t="s">
        <v>42</v>
      </c>
    </row>
    <row r="304" ht="12.75" hidden="1">
      <c r="C304" s="60" t="s">
        <v>43</v>
      </c>
    </row>
    <row r="305" spans="3:24" ht="12.75" hidden="1">
      <c r="C305" s="60" t="s">
        <v>49</v>
      </c>
      <c r="D305" t="s">
        <v>51</v>
      </c>
      <c r="F305" t="str">
        <f>+B17</f>
        <v>Presupuesto Oficial</v>
      </c>
      <c r="H305" t="s">
        <v>52</v>
      </c>
      <c r="L305" t="s">
        <v>51</v>
      </c>
      <c r="N305">
        <f>+J17</f>
        <v>0</v>
      </c>
      <c r="P305" t="s">
        <v>52</v>
      </c>
      <c r="T305" t="s">
        <v>51</v>
      </c>
      <c r="V305">
        <f>+R17</f>
        <v>0</v>
      </c>
      <c r="X305" t="s">
        <v>52</v>
      </c>
    </row>
    <row r="306" spans="3:28" ht="12.75" hidden="1">
      <c r="C306" s="60" t="s">
        <v>65</v>
      </c>
      <c r="D306" t="str">
        <f>+F305</f>
        <v>Presupuesto Oficial</v>
      </c>
      <c r="F306" t="s">
        <v>66</v>
      </c>
      <c r="L306">
        <f>+N305</f>
        <v>0</v>
      </c>
      <c r="N306" t="s">
        <v>53</v>
      </c>
      <c r="T306">
        <f>+V305</f>
        <v>0</v>
      </c>
      <c r="V306" t="s">
        <v>53</v>
      </c>
      <c r="AB306" t="e">
        <f>+#REF!</f>
        <v>#REF!</v>
      </c>
    </row>
    <row r="307" spans="3:24" ht="25.5" hidden="1">
      <c r="C307" s="60" t="s">
        <v>48</v>
      </c>
      <c r="D307" t="s">
        <v>54</v>
      </c>
      <c r="F307" t="str">
        <f>+F305</f>
        <v>Presupuesto Oficial</v>
      </c>
      <c r="H307" t="s">
        <v>55</v>
      </c>
      <c r="L307" t="s">
        <v>54</v>
      </c>
      <c r="N307">
        <f>+N305</f>
        <v>0</v>
      </c>
      <c r="P307" t="s">
        <v>55</v>
      </c>
      <c r="T307" t="s">
        <v>54</v>
      </c>
      <c r="V307">
        <f>+V305</f>
        <v>0</v>
      </c>
      <c r="X307" t="s">
        <v>55</v>
      </c>
    </row>
    <row r="308" ht="12.75" hidden="1"/>
    <row r="309" ht="12.75" customHeight="1" hidden="1"/>
    <row r="310" ht="12.75" hidden="1">
      <c r="C310" s="62"/>
    </row>
    <row r="311" ht="12.75" hidden="1">
      <c r="C311" s="61"/>
    </row>
    <row r="312" ht="12.75" hidden="1">
      <c r="C312" s="55"/>
    </row>
    <row r="313" ht="12.75" hidden="1"/>
    <row r="314" ht="12.75" customHeight="1" hidden="1"/>
    <row r="315" ht="12.75" hidden="1">
      <c r="C315" s="62"/>
    </row>
    <row r="316" ht="12.75" hidden="1">
      <c r="C316" s="62"/>
    </row>
    <row r="317" ht="12.75" hidden="1">
      <c r="C317" s="61"/>
    </row>
    <row r="318" ht="12.75" hidden="1"/>
    <row r="319" ht="12.75" hidden="1"/>
    <row r="320" ht="12.75" customHeight="1" hidden="1"/>
    <row r="321" ht="12.75" hidden="1">
      <c r="C321" s="61"/>
    </row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</sheetData>
  <sheetProtection selectLockedCells="1"/>
  <mergeCells count="73">
    <mergeCell ref="H38:H42"/>
    <mergeCell ref="Z38:Z42"/>
    <mergeCell ref="H7:J11"/>
    <mergeCell ref="X12:Z14"/>
    <mergeCell ref="P11:R13"/>
    <mergeCell ref="P9:R10"/>
    <mergeCell ref="J33:J35"/>
    <mergeCell ref="X33:X35"/>
    <mergeCell ref="B27:B28"/>
    <mergeCell ref="X30:X31"/>
    <mergeCell ref="X6:Z7"/>
    <mergeCell ref="X8:Z10"/>
    <mergeCell ref="Z30:Z31"/>
    <mergeCell ref="J38:J42"/>
    <mergeCell ref="C27:C28"/>
    <mergeCell ref="C30:C31"/>
    <mergeCell ref="Z33:Z35"/>
    <mergeCell ref="X38:X42"/>
    <mergeCell ref="H30:H31"/>
    <mergeCell ref="J30:J31"/>
    <mergeCell ref="P38:P42"/>
    <mergeCell ref="R38:R42"/>
    <mergeCell ref="A38:A42"/>
    <mergeCell ref="B38:B42"/>
    <mergeCell ref="C38:C42"/>
    <mergeCell ref="B30:B31"/>
    <mergeCell ref="B33:B35"/>
    <mergeCell ref="C33:C35"/>
    <mergeCell ref="T5:Z5"/>
    <mergeCell ref="A27:A28"/>
    <mergeCell ref="A30:A31"/>
    <mergeCell ref="H33:H35"/>
    <mergeCell ref="D5:J5"/>
    <mergeCell ref="A33:A35"/>
    <mergeCell ref="B14:C14"/>
    <mergeCell ref="D25:J25"/>
    <mergeCell ref="H27:H28"/>
    <mergeCell ref="J27:J28"/>
    <mergeCell ref="C66:C70"/>
    <mergeCell ref="H66:H70"/>
    <mergeCell ref="J55:J56"/>
    <mergeCell ref="J66:J70"/>
    <mergeCell ref="H61:H63"/>
    <mergeCell ref="H58:H59"/>
    <mergeCell ref="J58:J59"/>
    <mergeCell ref="D53:J53"/>
    <mergeCell ref="B55:B56"/>
    <mergeCell ref="C55:C56"/>
    <mergeCell ref="H55:H56"/>
    <mergeCell ref="A1:D1"/>
    <mergeCell ref="L5:R5"/>
    <mergeCell ref="L15:N15"/>
    <mergeCell ref="P15:R15"/>
    <mergeCell ref="D15:F15"/>
    <mergeCell ref="H15:J15"/>
    <mergeCell ref="A2:E2"/>
    <mergeCell ref="P6:R6"/>
    <mergeCell ref="L25:R25"/>
    <mergeCell ref="R30:R31"/>
    <mergeCell ref="P33:P35"/>
    <mergeCell ref="R33:R35"/>
    <mergeCell ref="P27:P28"/>
    <mergeCell ref="R27:R28"/>
    <mergeCell ref="P30:P31"/>
    <mergeCell ref="T15:V15"/>
    <mergeCell ref="X15:Z15"/>
    <mergeCell ref="T25:Z25"/>
    <mergeCell ref="X27:X28"/>
    <mergeCell ref="Z27:Z28"/>
    <mergeCell ref="A55:A56"/>
    <mergeCell ref="A58:A59"/>
    <mergeCell ref="A61:A63"/>
    <mergeCell ref="A66:A70"/>
  </mergeCells>
  <printOptions/>
  <pageMargins left="0.58" right="0.29" top="0.6299212598425197" bottom="0.54" header="0" footer="0"/>
  <pageSetup horizontalDpi="600" verticalDpi="600" orientation="landscape" scale="6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B31"/>
  <sheetViews>
    <sheetView workbookViewId="0" topLeftCell="A1">
      <selection activeCell="B31" sqref="B31"/>
    </sheetView>
  </sheetViews>
  <sheetFormatPr defaultColWidth="11.421875" defaultRowHeight="12.75"/>
  <cols>
    <col min="2" max="2" width="11.7109375" style="0" bestFit="1" customWidth="1"/>
  </cols>
  <sheetData>
    <row r="2" ht="13.5" thickBot="1"/>
    <row r="3" spans="1:2" ht="13.5" thickBot="1">
      <c r="A3" s="128" t="s">
        <v>74</v>
      </c>
      <c r="B3" s="129" t="s">
        <v>75</v>
      </c>
    </row>
    <row r="4" spans="1:2" ht="12.75">
      <c r="A4" s="130"/>
      <c r="B4" s="131"/>
    </row>
    <row r="5" spans="1:2" ht="12.75">
      <c r="A5" s="132"/>
      <c r="B5" s="133"/>
    </row>
    <row r="6" spans="1:2" ht="12.75">
      <c r="A6" s="134" t="s">
        <v>76</v>
      </c>
      <c r="B6" s="135"/>
    </row>
    <row r="7" spans="1:2" ht="12.75">
      <c r="A7" s="134" t="s">
        <v>77</v>
      </c>
      <c r="B7" s="135"/>
    </row>
    <row r="8" spans="1:2" ht="12.75">
      <c r="A8" s="136" t="s">
        <v>78</v>
      </c>
      <c r="B8" s="137">
        <f>SUM(B5)-(B6+B7)</f>
        <v>0</v>
      </c>
    </row>
    <row r="9" spans="1:2" ht="12.75">
      <c r="A9" s="134" t="s">
        <v>79</v>
      </c>
      <c r="B9" s="133"/>
    </row>
    <row r="10" spans="1:2" ht="12.75">
      <c r="A10" s="134" t="s">
        <v>80</v>
      </c>
      <c r="B10" s="133"/>
    </row>
    <row r="11" spans="1:2" ht="12.75">
      <c r="A11" s="136" t="s">
        <v>81</v>
      </c>
      <c r="B11" s="137">
        <f>SUM(B8)-(B9)+(B10)</f>
        <v>0</v>
      </c>
    </row>
    <row r="12" spans="1:2" ht="12.75">
      <c r="A12" s="138" t="s">
        <v>82</v>
      </c>
      <c r="B12" s="139">
        <f>SUM(B11)*0.35</f>
        <v>0</v>
      </c>
    </row>
    <row r="13" spans="1:2" ht="12.75">
      <c r="A13" s="136" t="s">
        <v>83</v>
      </c>
      <c r="B13" s="137">
        <f>SUM(B11)-B12</f>
        <v>0</v>
      </c>
    </row>
    <row r="14" spans="1:2" ht="13.5" thickBot="1">
      <c r="A14" s="140">
        <f>IF(A12="Impuestos","","1/ No contabiliza provisión de Impuestos")</f>
      </c>
      <c r="B14" s="141"/>
    </row>
    <row r="15" spans="1:2" ht="13.5" thickBot="1">
      <c r="A15" s="128" t="s">
        <v>84</v>
      </c>
      <c r="B15" s="129" t="s">
        <v>85</v>
      </c>
    </row>
    <row r="16" spans="1:2" ht="12.75">
      <c r="A16" s="130"/>
      <c r="B16" s="142"/>
    </row>
    <row r="17" spans="1:2" ht="12.75">
      <c r="A17" s="134" t="s">
        <v>86</v>
      </c>
      <c r="B17" s="143">
        <f>643961779+148357555+3596772176+825793721+21693539</f>
        <v>5236578770</v>
      </c>
    </row>
    <row r="18" spans="1:2" ht="12.75">
      <c r="A18" s="132"/>
      <c r="B18" s="144"/>
    </row>
    <row r="19" spans="1:2" ht="12.75">
      <c r="A19" s="134" t="s">
        <v>87</v>
      </c>
      <c r="B19" s="144"/>
    </row>
    <row r="20" spans="1:2" ht="12.75">
      <c r="A20" s="134" t="s">
        <v>88</v>
      </c>
      <c r="B20" s="133"/>
    </row>
    <row r="21" spans="1:2" ht="12.75">
      <c r="A21" s="136" t="s">
        <v>89</v>
      </c>
      <c r="B21" s="145">
        <f>SUM(B17:B20)</f>
        <v>5236578770</v>
      </c>
    </row>
    <row r="22" spans="1:2" ht="12.75">
      <c r="A22" s="134" t="s">
        <v>90</v>
      </c>
      <c r="B22" s="133"/>
    </row>
    <row r="23" spans="1:2" ht="12.75">
      <c r="A23" s="134" t="s">
        <v>91</v>
      </c>
      <c r="B23" s="133">
        <f>901924594+2028908927</f>
        <v>2930833521</v>
      </c>
    </row>
    <row r="24" spans="1:2" ht="12.75">
      <c r="A24" s="134" t="s">
        <v>92</v>
      </c>
      <c r="B24" s="133"/>
    </row>
    <row r="25" spans="1:2" ht="12.75">
      <c r="A25" s="136" t="s">
        <v>93</v>
      </c>
      <c r="B25" s="137">
        <f>SUM(B21:B24)</f>
        <v>8167412291</v>
      </c>
    </row>
    <row r="26" spans="1:2" ht="12.75">
      <c r="A26" s="132"/>
      <c r="B26" s="143">
        <v>2145722261</v>
      </c>
    </row>
    <row r="27" spans="1:2" ht="12.75">
      <c r="A27" s="134" t="s">
        <v>94</v>
      </c>
      <c r="B27" s="133">
        <v>299973819</v>
      </c>
    </row>
    <row r="28" spans="1:2" ht="12.75">
      <c r="A28" s="134" t="s">
        <v>95</v>
      </c>
      <c r="B28" s="133">
        <f>154480843+215521274+23909006</f>
        <v>393911123</v>
      </c>
    </row>
    <row r="29" spans="1:2" ht="12.75">
      <c r="A29" s="136" t="s">
        <v>96</v>
      </c>
      <c r="B29" s="137">
        <f>SUM(B26:B28)</f>
        <v>2839607203</v>
      </c>
    </row>
    <row r="30" spans="1:2" ht="12.75">
      <c r="A30" s="134" t="s">
        <v>97</v>
      </c>
      <c r="B30" s="133">
        <f>657450510+450459508</f>
        <v>1107910018</v>
      </c>
    </row>
    <row r="31" spans="1:2" ht="13.5" thickBot="1">
      <c r="A31" s="146" t="s">
        <v>98</v>
      </c>
      <c r="B31" s="147">
        <f>SUM(B29:B30)</f>
        <v>3947517221</v>
      </c>
    </row>
  </sheetData>
  <dataValidations count="4">
    <dataValidation type="list" allowBlank="1" showInputMessage="1" showErrorMessage="1" sqref="A26">
      <formula1>$R$5:$R$6</formula1>
    </dataValidation>
    <dataValidation type="list" allowBlank="1" showInputMessage="1" showErrorMessage="1" sqref="A18">
      <formula1>$Q$5:$Q$6</formula1>
    </dataValidation>
    <dataValidation allowBlank="1" showInputMessage="1" showErrorMessage="1" promptTitle="deje impuestos1/" prompt="si tenemos que calcular los impuestos:&#10;&#10;para ingresar datos del año 2006 35%&#10;para ingresar datos del año 2007 34%" sqref="B12"/>
    <dataValidation type="list" allowBlank="1" showInputMessage="1" showErrorMessage="1" sqref="A5">
      <formula1>$P$4:$P$6</formula1>
    </dataValidation>
  </dataValidation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uditrital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AFinanciera</dc:creator>
  <cp:keywords/>
  <dc:description/>
  <cp:lastModifiedBy>AFinanciera</cp:lastModifiedBy>
  <cp:lastPrinted>2010-04-05T20:06:42Z</cp:lastPrinted>
  <dcterms:created xsi:type="dcterms:W3CDTF">2008-12-23T19:33:14Z</dcterms:created>
  <dcterms:modified xsi:type="dcterms:W3CDTF">2010-04-07T15:48:17Z</dcterms:modified>
  <cp:category/>
  <cp:version/>
  <cp:contentType/>
  <cp:contentStatus/>
</cp:coreProperties>
</file>