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025" activeTab="0"/>
  </bookViews>
  <sheets>
    <sheet name="EVALUACION TECNICA" sheetId="1" r:id="rId1"/>
  </sheets>
  <definedNames>
    <definedName name="_xlnm._FilterDatabase" localSheetId="0" hidden="1">'EVALUACION TECNICA'!$A$12:$BM$26</definedName>
  </definedNames>
  <calcPr fullCalcOnLoad="1"/>
</workbook>
</file>

<file path=xl/sharedStrings.xml><?xml version="1.0" encoding="utf-8"?>
<sst xmlns="http://schemas.openxmlformats.org/spreadsheetml/2006/main" count="237" uniqueCount="51">
  <si>
    <t>EVALUACION TECNICA ITEM A ITEM</t>
  </si>
  <si>
    <t>PROPUESTAS HABILITADAS PARA LA MEDIA TENIENDO EN CUENTA EL VALOR BASE</t>
  </si>
  <si>
    <t>PORCENTAJE DE LA MEDIA</t>
  </si>
  <si>
    <t>DESVIACIÓN RESPECTO DE LA MEDIA</t>
  </si>
  <si>
    <t>PUNTAJE DE DIFERENCIACION</t>
  </si>
  <si>
    <t>PUNTAJE PREVIO</t>
  </si>
  <si>
    <t>MAYOR VALOR</t>
  </si>
  <si>
    <t>PUNTAJE FINAL TOTAL</t>
  </si>
  <si>
    <t>ADJUDICACION DEFINITIVA</t>
  </si>
  <si>
    <t>No. DE PROPUESTAS</t>
  </si>
  <si>
    <t>NUMERO DE VECES EN QUE INTERVIENE EL PPTO</t>
  </si>
  <si>
    <t>SUMA DE PROPUESTAS</t>
  </si>
  <si>
    <t>SUMATORIA TOTAL</t>
  </si>
  <si>
    <t>MEDIA ARITMETICA</t>
  </si>
  <si>
    <t>CUMPLE</t>
  </si>
  <si>
    <t>NC</t>
  </si>
  <si>
    <t>VALOR BASE  TOTAL</t>
  </si>
  <si>
    <t>VALOR PROPUESTAS DE LOS OFERENTES</t>
  </si>
  <si>
    <t>EVALUACION JURIDICA, FINANCIERA Y TECNICA</t>
  </si>
  <si>
    <t>RESULTADO EVALUACION PROPUESTAS HABILITADAS TECNICAMENTE</t>
  </si>
  <si>
    <t>VALOR UNTIARIO</t>
  </si>
  <si>
    <t xml:space="preserve">IVA </t>
  </si>
  <si>
    <t>ITEM</t>
  </si>
  <si>
    <t>NOMBRE EQUIPO</t>
  </si>
  <si>
    <t>CANTIDAD</t>
  </si>
  <si>
    <t>UNIVERSIDAD DITRTIAL FRANCISCO JOSE DE CALDAS</t>
  </si>
  <si>
    <t>ANEXO No. 4</t>
  </si>
  <si>
    <t>IMPOINTER</t>
  </si>
  <si>
    <t>ANALYTICA</t>
  </si>
  <si>
    <t>SEI</t>
  </si>
  <si>
    <t>COLECTOR DE POLVO</t>
  </si>
  <si>
    <t>LIJADORA</t>
  </si>
  <si>
    <t>SIERRA SINFÍN</t>
  </si>
  <si>
    <t xml:space="preserve">TALADRO DE ARBOL </t>
  </si>
  <si>
    <t xml:space="preserve">TORNO </t>
  </si>
  <si>
    <t>MICROPIPETA
VOLUMEN VARIABLE</t>
  </si>
  <si>
    <t>MALETIN DE HERRAMIENTAS</t>
  </si>
  <si>
    <t>MEDIDOR ELECTRONICO DE ENERGIA ACTIVA (Para usuarios de tipo INDUSTRIAL.)</t>
  </si>
  <si>
    <t>MEDIDOR ELECTRONICO DE ENERGIA ACTIVA (tipo RESIDENCIAL)</t>
  </si>
  <si>
    <t>MÓDULOS PERIFÉRICOS COMPATIBLES CON CPLD</t>
  </si>
  <si>
    <t>MULTIMETRO DIGITAL TRUE RMS AC/(AC+DC)</t>
  </si>
  <si>
    <t>REGULADOR DE TENSION</t>
  </si>
  <si>
    <t>SISTEMA DE DESARROLLO DE CPLD</t>
  </si>
  <si>
    <t>SISTEMA DE DESARROLLO PARA MICROCONTROLADORES SERIE PSOC</t>
  </si>
  <si>
    <t>TABLERO DE CIRCUITOS</t>
  </si>
  <si>
    <t>KIT DE HERRAMIENTAS PARA FIBRA OPTICA</t>
  </si>
  <si>
    <t>PUNTAJE FINAL PROPUESTA ECONOMICA CON BASE A 75 PUNTOS</t>
  </si>
  <si>
    <t>PUNTAJE GARANTIA MAXIMO 25 PUNTOS</t>
  </si>
  <si>
    <t>CALCULO DEL INTERVALO (PUNTAJE  PONDERADO DE EVALUACION }
CI=  (media aritmética)*0,15 / 75 puntos</t>
  </si>
  <si>
    <t>INVITACION DIRECTA No. 018 de 2010</t>
  </si>
  <si>
    <t>NO CUMPLE</t>
  </si>
</sst>
</file>

<file path=xl/styles.xml><?xml version="1.0" encoding="utf-8"?>
<styleSheet xmlns="http://schemas.openxmlformats.org/spreadsheetml/2006/main">
  <numFmts count="4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* #,##0_-;\-* #,##0_-;_-* &quot;-&quot;_-;_-@_-"/>
    <numFmt numFmtId="186" formatCode="_-&quot;$&quot;\ * #,##0.00_-;\-&quot;$&quot;\ * #,##0.00_-;_-&quot;$&quot;\ 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$-240A]\ #,##0"/>
    <numFmt numFmtId="193" formatCode="&quot;$&quot;\ #,##0"/>
    <numFmt numFmtId="194" formatCode="0.0000"/>
    <numFmt numFmtId="195" formatCode="_-* #,##0.00\ _p_t_a_-;\-* #,##0.00\ _p_t_a_-;_-* &quot;-&quot;??\ _p_t_a_-;_-@_-"/>
    <numFmt numFmtId="196" formatCode="[$$-240A]\ #,##0.00"/>
    <numFmt numFmtId="197" formatCode="#,##0.000"/>
    <numFmt numFmtId="198" formatCode="_([$$-240A]\ * #,##0_);_([$$-240A]\ * \(#,##0\);_([$$-240A]\ * &quot;-&quot;??_);_(@_)"/>
    <numFmt numFmtId="199" formatCode="_(&quot;$&quot;\ * #,##0_);_(&quot;$&quot;\ * \(#,##0\);_(&quot;$&quot;\ * &quot;-&quot;??_);_(@_)"/>
    <numFmt numFmtId="200" formatCode="_ &quot;$&quot;\ * #,##0_ ;_ &quot;$&quot;\ * \-#,##0_ ;_ &quot;$&quot;\ * &quot;-&quot;??_ ;_ @_ "/>
    <numFmt numFmtId="201" formatCode="[$$-240A]\ #,##0.0"/>
    <numFmt numFmtId="202" formatCode="[$$-240A]\ #,##0;[Red][$$-240A]\ #,##0"/>
  </numFmts>
  <fonts count="2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b/>
      <sz val="8"/>
      <color indexed="9"/>
      <name val="Tahoma"/>
      <family val="2"/>
    </font>
    <font>
      <u val="single"/>
      <sz val="8"/>
      <color indexed="12"/>
      <name val="Tahom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7" borderId="1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0" borderId="7" applyNumberFormat="0" applyFill="0" applyAlignment="0" applyProtection="0"/>
    <xf numFmtId="0" fontId="5" fillId="0" borderId="8" applyNumberFormat="0" applyFill="0" applyAlignment="0" applyProtection="0"/>
    <xf numFmtId="0" fontId="22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19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92" fontId="8" fillId="3" borderId="10" xfId="0" applyNumberFormat="1" applyFont="1" applyFill="1" applyBorder="1" applyAlignment="1">
      <alignment horizontal="center" vertical="center" wrapText="1"/>
    </xf>
    <xf numFmtId="192" fontId="8" fillId="3" borderId="11" xfId="0" applyNumberFormat="1" applyFont="1" applyFill="1" applyBorder="1" applyAlignment="1">
      <alignment horizontal="center" vertical="center"/>
    </xf>
    <xf numFmtId="192" fontId="8" fillId="3" borderId="12" xfId="0" applyNumberFormat="1" applyFont="1" applyFill="1" applyBorder="1" applyAlignment="1">
      <alignment horizontal="center" vertical="center"/>
    </xf>
    <xf numFmtId="193" fontId="8" fillId="0" borderId="0" xfId="0" applyNumberFormat="1" applyFont="1" applyFill="1" applyBorder="1" applyAlignment="1">
      <alignment horizontal="center" vertical="center" wrapText="1"/>
    </xf>
    <xf numFmtId="192" fontId="8" fillId="0" borderId="13" xfId="0" applyNumberFormat="1" applyFont="1" applyFill="1" applyBorder="1" applyAlignment="1">
      <alignment horizontal="center" vertical="center" wrapText="1"/>
    </xf>
    <xf numFmtId="192" fontId="8" fillId="0" borderId="14" xfId="0" applyNumberFormat="1" applyFont="1" applyFill="1" applyBorder="1" applyAlignment="1">
      <alignment horizontal="center" vertical="center" wrapText="1"/>
    </xf>
    <xf numFmtId="192" fontId="8" fillId="0" borderId="15" xfId="0" applyNumberFormat="1" applyFont="1" applyFill="1" applyBorder="1" applyAlignment="1">
      <alignment horizontal="center" vertical="center" wrapText="1"/>
    </xf>
    <xf numFmtId="192" fontId="8" fillId="0" borderId="0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94" fontId="4" fillId="0" borderId="0" xfId="0" applyNumberFormat="1" applyFont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202" fontId="4" fillId="0" borderId="11" xfId="52" applyNumberFormat="1" applyFont="1" applyFill="1" applyBorder="1" applyAlignment="1">
      <alignment horizontal="center" vertical="center" wrapText="1"/>
    </xf>
    <xf numFmtId="192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92" fontId="4" fillId="0" borderId="10" xfId="51" applyNumberFormat="1" applyFont="1" applyFill="1" applyBorder="1" applyAlignment="1">
      <alignment horizontal="center" vertical="center" wrapText="1"/>
    </xf>
    <xf numFmtId="19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92" fontId="4" fillId="0" borderId="11" xfId="51" applyNumberFormat="1" applyFont="1" applyFill="1" applyBorder="1" applyAlignment="1">
      <alignment horizontal="center" vertical="center" wrapText="1"/>
    </xf>
    <xf numFmtId="193" fontId="12" fillId="0" borderId="0" xfId="46" applyNumberFormat="1" applyFont="1" applyFill="1" applyBorder="1" applyAlignment="1" applyProtection="1">
      <alignment horizontal="center" vertical="center" wrapText="1"/>
      <protection/>
    </xf>
    <xf numFmtId="0" fontId="4" fillId="24" borderId="17" xfId="0" applyFont="1" applyFill="1" applyBorder="1" applyAlignment="1" applyProtection="1">
      <alignment horizontal="center" vertical="center" wrapText="1"/>
      <protection/>
    </xf>
    <xf numFmtId="0" fontId="4" fillId="24" borderId="14" xfId="0" applyFont="1" applyFill="1" applyBorder="1" applyAlignment="1" applyProtection="1">
      <alignment horizontal="center" vertical="center" wrapText="1"/>
      <protection/>
    </xf>
    <xf numFmtId="193" fontId="4" fillId="0" borderId="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96" fontId="4" fillId="8" borderId="10" xfId="0" applyNumberFormat="1" applyFont="1" applyFill="1" applyBorder="1" applyAlignment="1">
      <alignment horizontal="center" vertical="center" wrapText="1"/>
    </xf>
    <xf numFmtId="196" fontId="4" fillId="8" borderId="11" xfId="0" applyNumberFormat="1" applyFont="1" applyFill="1" applyBorder="1" applyAlignment="1">
      <alignment horizontal="center" vertical="center" wrapText="1"/>
    </xf>
    <xf numFmtId="192" fontId="4" fillId="3" borderId="10" xfId="51" applyNumberFormat="1" applyFont="1" applyFill="1" applyBorder="1" applyAlignment="1">
      <alignment horizontal="center" vertical="center" wrapText="1"/>
    </xf>
    <xf numFmtId="192" fontId="4" fillId="3" borderId="11" xfId="51" applyNumberFormat="1" applyFont="1" applyFill="1" applyBorder="1" applyAlignment="1">
      <alignment horizontal="center" vertical="center" wrapText="1"/>
    </xf>
    <xf numFmtId="3" fontId="4" fillId="0" borderId="18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55" applyFont="1" applyFill="1" applyBorder="1" applyAlignment="1" applyProtection="1">
      <alignment horizontal="center" vertical="center" wrapText="1"/>
      <protection locked="0"/>
    </xf>
    <xf numFmtId="192" fontId="4" fillId="0" borderId="11" xfId="55" applyNumberFormat="1" applyFont="1" applyFill="1" applyBorder="1" applyAlignment="1" applyProtection="1">
      <alignment horizontal="center" vertical="center" wrapText="1"/>
      <protection locked="0"/>
    </xf>
    <xf numFmtId="192" fontId="4" fillId="0" borderId="12" xfId="55" applyNumberFormat="1" applyFont="1" applyFill="1" applyBorder="1" applyAlignment="1" applyProtection="1">
      <alignment horizontal="center" vertical="center" wrapText="1"/>
      <protection locked="0"/>
    </xf>
    <xf numFmtId="192" fontId="4" fillId="0" borderId="0" xfId="55" applyNumberFormat="1" applyFont="1" applyFill="1" applyBorder="1" applyAlignment="1" applyProtection="1">
      <alignment horizontal="center" vertical="center" wrapText="1"/>
      <protection locked="0"/>
    </xf>
    <xf numFmtId="197" fontId="4" fillId="21" borderId="10" xfId="55" applyNumberFormat="1" applyFont="1" applyFill="1" applyBorder="1" applyAlignment="1" applyProtection="1">
      <alignment horizontal="center" vertical="center" wrapText="1"/>
      <protection locked="0"/>
    </xf>
    <xf numFmtId="197" fontId="4" fillId="21" borderId="11" xfId="55" applyNumberFormat="1" applyFont="1" applyFill="1" applyBorder="1" applyAlignment="1" applyProtection="1">
      <alignment horizontal="center" vertical="center" wrapText="1"/>
      <protection locked="0"/>
    </xf>
    <xf numFmtId="192" fontId="4" fillId="24" borderId="10" xfId="55" applyNumberFormat="1" applyFont="1" applyFill="1" applyBorder="1" applyAlignment="1" applyProtection="1">
      <alignment horizontal="center" vertical="center" wrapText="1"/>
      <protection locked="0"/>
    </xf>
    <xf numFmtId="192" fontId="4" fillId="24" borderId="11" xfId="55" applyNumberFormat="1" applyFont="1" applyFill="1" applyBorder="1" applyAlignment="1" applyProtection="1">
      <alignment horizontal="center" vertical="center" wrapText="1"/>
      <protection locked="0"/>
    </xf>
    <xf numFmtId="192" fontId="10" fillId="25" borderId="19" xfId="55" applyNumberFormat="1" applyFont="1" applyFill="1" applyBorder="1" applyAlignment="1" applyProtection="1">
      <alignment horizontal="center" vertical="center" wrapText="1"/>
      <protection locked="0"/>
    </xf>
    <xf numFmtId="192" fontId="10" fillId="0" borderId="20" xfId="55" applyNumberFormat="1" applyFont="1" applyFill="1" applyBorder="1" applyAlignment="1" applyProtection="1">
      <alignment horizontal="center" vertical="center" wrapText="1"/>
      <protection locked="0"/>
    </xf>
    <xf numFmtId="194" fontId="4" fillId="26" borderId="10" xfId="55" applyNumberFormat="1" applyFont="1" applyFill="1" applyBorder="1" applyAlignment="1" applyProtection="1">
      <alignment horizontal="center" vertical="center" wrapText="1"/>
      <protection locked="0"/>
    </xf>
    <xf numFmtId="194" fontId="4" fillId="26" borderId="11" xfId="55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55" applyNumberFormat="1" applyFont="1" applyFill="1" applyBorder="1" applyAlignment="1" applyProtection="1">
      <alignment horizontal="center" vertical="center" wrapText="1"/>
      <protection locked="0"/>
    </xf>
    <xf numFmtId="194" fontId="4" fillId="27" borderId="10" xfId="55" applyNumberFormat="1" applyFont="1" applyFill="1" applyBorder="1" applyAlignment="1" applyProtection="1">
      <alignment horizontal="center" vertical="center" wrapText="1"/>
      <protection locked="0"/>
    </xf>
    <xf numFmtId="194" fontId="4" fillId="27" borderId="11" xfId="55" applyNumberFormat="1" applyFont="1" applyFill="1" applyBorder="1" applyAlignment="1" applyProtection="1">
      <alignment horizontal="center" vertical="center" wrapText="1"/>
      <protection locked="0"/>
    </xf>
    <xf numFmtId="194" fontId="8" fillId="15" borderId="10" xfId="55" applyNumberFormat="1" applyFont="1" applyFill="1" applyBorder="1" applyAlignment="1" applyProtection="1">
      <alignment horizontal="center" vertical="center" wrapText="1"/>
      <protection locked="0"/>
    </xf>
    <xf numFmtId="194" fontId="8" fillId="15" borderId="11" xfId="55" applyNumberFormat="1" applyFont="1" applyFill="1" applyBorder="1" applyAlignment="1" applyProtection="1">
      <alignment horizontal="center" vertical="center" wrapText="1"/>
      <protection locked="0"/>
    </xf>
    <xf numFmtId="194" fontId="4" fillId="28" borderId="2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4" fillId="2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202" fontId="4" fillId="0" borderId="11" xfId="0" applyNumberFormat="1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192" fontId="4" fillId="0" borderId="22" xfId="51" applyNumberFormat="1" applyFont="1" applyFill="1" applyBorder="1" applyAlignment="1">
      <alignment horizontal="center" vertical="center" wrapText="1"/>
    </xf>
    <xf numFmtId="192" fontId="4" fillId="0" borderId="23" xfId="51" applyNumberFormat="1" applyFont="1" applyFill="1" applyBorder="1" applyAlignment="1">
      <alignment horizontal="center" vertical="center" wrapText="1"/>
    </xf>
    <xf numFmtId="0" fontId="4" fillId="24" borderId="22" xfId="0" applyFont="1" applyFill="1" applyBorder="1" applyAlignment="1" applyProtection="1">
      <alignment horizontal="center" vertical="center" wrapText="1"/>
      <protection/>
    </xf>
    <xf numFmtId="0" fontId="4" fillId="24" borderId="23" xfId="0" applyFont="1" applyFill="1" applyBorder="1" applyAlignment="1" applyProtection="1">
      <alignment horizontal="center" vertical="center" wrapText="1"/>
      <protection/>
    </xf>
    <xf numFmtId="194" fontId="4" fillId="27" borderId="22" xfId="55" applyNumberFormat="1" applyFont="1" applyFill="1" applyBorder="1" applyAlignment="1" applyProtection="1">
      <alignment horizontal="center" vertical="center" wrapText="1"/>
      <protection locked="0"/>
    </xf>
    <xf numFmtId="194" fontId="4" fillId="27" borderId="23" xfId="55" applyNumberFormat="1" applyFont="1" applyFill="1" applyBorder="1" applyAlignment="1" applyProtection="1">
      <alignment horizontal="center" vertical="center" wrapText="1"/>
      <protection locked="0"/>
    </xf>
    <xf numFmtId="194" fontId="8" fillId="15" borderId="22" xfId="55" applyNumberFormat="1" applyFont="1" applyFill="1" applyBorder="1" applyAlignment="1" applyProtection="1">
      <alignment horizontal="center" vertical="center" wrapText="1"/>
      <protection locked="0"/>
    </xf>
    <xf numFmtId="194" fontId="8" fillId="15" borderId="23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20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11" xfId="56" applyFont="1" applyFill="1" applyBorder="1" applyAlignment="1">
      <alignment vertical="center" wrapText="1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4" xfId="56" applyFont="1" applyFill="1" applyBorder="1" applyAlignment="1">
      <alignment vertical="center" wrapText="1"/>
      <protection/>
    </xf>
    <xf numFmtId="0" fontId="4" fillId="0" borderId="14" xfId="56" applyFont="1" applyFill="1" applyBorder="1" applyAlignment="1">
      <alignment horizontal="center" vertical="center" wrapText="1"/>
      <protection/>
    </xf>
    <xf numFmtId="202" fontId="4" fillId="0" borderId="14" xfId="52" applyNumberFormat="1" applyFont="1" applyFill="1" applyBorder="1" applyAlignment="1">
      <alignment horizontal="center" vertical="center" wrapText="1"/>
    </xf>
    <xf numFmtId="202" fontId="4" fillId="0" borderId="15" xfId="52" applyNumberFormat="1" applyFont="1" applyFill="1" applyBorder="1" applyAlignment="1">
      <alignment horizontal="center" vertical="center" wrapText="1"/>
    </xf>
    <xf numFmtId="202" fontId="4" fillId="0" borderId="12" xfId="52" applyNumberFormat="1" applyFont="1" applyFill="1" applyBorder="1" applyAlignment="1">
      <alignment horizontal="center" vertical="center" wrapText="1"/>
    </xf>
    <xf numFmtId="202" fontId="4" fillId="0" borderId="12" xfId="0" applyNumberFormat="1" applyFont="1" applyFill="1" applyBorder="1" applyAlignment="1">
      <alignment horizontal="center" vertical="center" wrapText="1"/>
    </xf>
    <xf numFmtId="0" fontId="4" fillId="0" borderId="23" xfId="56" applyFont="1" applyFill="1" applyBorder="1" applyAlignment="1">
      <alignment vertical="center" wrapText="1"/>
      <protection/>
    </xf>
    <xf numFmtId="0" fontId="4" fillId="0" borderId="23" xfId="56" applyFont="1" applyFill="1" applyBorder="1" applyAlignment="1">
      <alignment horizontal="center" vertical="center" wrapText="1"/>
      <protection/>
    </xf>
    <xf numFmtId="202" fontId="4" fillId="0" borderId="23" xfId="0" applyNumberFormat="1" applyFont="1" applyFill="1" applyBorder="1" applyAlignment="1">
      <alignment horizontal="center" vertical="center" wrapText="1"/>
    </xf>
    <xf numFmtId="202" fontId="4" fillId="0" borderId="24" xfId="0" applyNumberFormat="1" applyFont="1" applyFill="1" applyBorder="1" applyAlignment="1">
      <alignment horizontal="center" vertical="center" wrapText="1"/>
    </xf>
    <xf numFmtId="192" fontId="4" fillId="0" borderId="12" xfId="51" applyNumberFormat="1" applyFont="1" applyFill="1" applyBorder="1" applyAlignment="1">
      <alignment horizontal="center" vertical="center" wrapText="1"/>
    </xf>
    <xf numFmtId="19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92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92" fontId="8" fillId="3" borderId="28" xfId="0" applyNumberFormat="1" applyFont="1" applyFill="1" applyBorder="1" applyAlignment="1">
      <alignment horizontal="center" vertical="center" wrapText="1"/>
    </xf>
    <xf numFmtId="192" fontId="8" fillId="3" borderId="29" xfId="0" applyNumberFormat="1" applyFont="1" applyFill="1" applyBorder="1" applyAlignment="1">
      <alignment horizontal="center" vertical="center"/>
    </xf>
    <xf numFmtId="192" fontId="8" fillId="3" borderId="30" xfId="0" applyNumberFormat="1" applyFont="1" applyFill="1" applyBorder="1" applyAlignment="1">
      <alignment horizontal="center" vertical="center"/>
    </xf>
    <xf numFmtId="0" fontId="4" fillId="24" borderId="15" xfId="0" applyFont="1" applyFill="1" applyBorder="1" applyAlignment="1" applyProtection="1">
      <alignment horizontal="center" vertical="center" wrapText="1"/>
      <protection/>
    </xf>
    <xf numFmtId="0" fontId="4" fillId="24" borderId="12" xfId="0" applyFont="1" applyFill="1" applyBorder="1" applyAlignment="1" applyProtection="1">
      <alignment horizontal="center" vertical="center" wrapText="1"/>
      <protection/>
    </xf>
    <xf numFmtId="0" fontId="4" fillId="24" borderId="24" xfId="0" applyFont="1" applyFill="1" applyBorder="1" applyAlignment="1" applyProtection="1">
      <alignment horizontal="center" vertical="center" wrapText="1"/>
      <protection/>
    </xf>
    <xf numFmtId="196" fontId="4" fillId="8" borderId="12" xfId="0" applyNumberFormat="1" applyFont="1" applyFill="1" applyBorder="1" applyAlignment="1">
      <alignment horizontal="center" vertical="center" wrapText="1"/>
    </xf>
    <xf numFmtId="196" fontId="4" fillId="8" borderId="22" xfId="0" applyNumberFormat="1" applyFont="1" applyFill="1" applyBorder="1" applyAlignment="1">
      <alignment horizontal="center" vertical="center" wrapText="1"/>
    </xf>
    <xf numFmtId="196" fontId="4" fillId="8" borderId="23" xfId="0" applyNumberFormat="1" applyFont="1" applyFill="1" applyBorder="1" applyAlignment="1">
      <alignment horizontal="center" vertical="center" wrapText="1"/>
    </xf>
    <xf numFmtId="196" fontId="4" fillId="8" borderId="24" xfId="0" applyNumberFormat="1" applyFont="1" applyFill="1" applyBorder="1" applyAlignment="1">
      <alignment horizontal="center" vertical="center" wrapText="1"/>
    </xf>
    <xf numFmtId="192" fontId="4" fillId="3" borderId="12" xfId="51" applyNumberFormat="1" applyFont="1" applyFill="1" applyBorder="1" applyAlignment="1">
      <alignment horizontal="center" vertical="center" wrapText="1"/>
    </xf>
    <xf numFmtId="192" fontId="4" fillId="3" borderId="22" xfId="51" applyNumberFormat="1" applyFont="1" applyFill="1" applyBorder="1" applyAlignment="1">
      <alignment horizontal="center" vertical="center" wrapText="1"/>
    </xf>
    <xf numFmtId="192" fontId="4" fillId="3" borderId="23" xfId="51" applyNumberFormat="1" applyFont="1" applyFill="1" applyBorder="1" applyAlignment="1">
      <alignment horizontal="center" vertical="center" wrapText="1"/>
    </xf>
    <xf numFmtId="192" fontId="4" fillId="3" borderId="24" xfId="51" applyNumberFormat="1" applyFont="1" applyFill="1" applyBorder="1" applyAlignment="1">
      <alignment horizontal="center" vertical="center" wrapText="1"/>
    </xf>
    <xf numFmtId="197" fontId="4" fillId="21" borderId="12" xfId="55" applyNumberFormat="1" applyFont="1" applyFill="1" applyBorder="1" applyAlignment="1" applyProtection="1">
      <alignment horizontal="center" vertical="center" wrapText="1"/>
      <protection locked="0"/>
    </xf>
    <xf numFmtId="197" fontId="4" fillId="21" borderId="22" xfId="55" applyNumberFormat="1" applyFont="1" applyFill="1" applyBorder="1" applyAlignment="1" applyProtection="1">
      <alignment horizontal="center" vertical="center" wrapText="1"/>
      <protection locked="0"/>
    </xf>
    <xf numFmtId="197" fontId="4" fillId="21" borderId="23" xfId="55" applyNumberFormat="1" applyFont="1" applyFill="1" applyBorder="1" applyAlignment="1" applyProtection="1">
      <alignment horizontal="center" vertical="center" wrapText="1"/>
      <protection locked="0"/>
    </xf>
    <xf numFmtId="197" fontId="4" fillId="21" borderId="24" xfId="55" applyNumberFormat="1" applyFont="1" applyFill="1" applyBorder="1" applyAlignment="1" applyProtection="1">
      <alignment horizontal="center" vertical="center" wrapText="1"/>
      <protection locked="0"/>
    </xf>
    <xf numFmtId="192" fontId="4" fillId="24" borderId="12" xfId="55" applyNumberFormat="1" applyFont="1" applyFill="1" applyBorder="1" applyAlignment="1" applyProtection="1">
      <alignment horizontal="center" vertical="center" wrapText="1"/>
      <protection locked="0"/>
    </xf>
    <xf numFmtId="192" fontId="4" fillId="24" borderId="22" xfId="55" applyNumberFormat="1" applyFont="1" applyFill="1" applyBorder="1" applyAlignment="1" applyProtection="1">
      <alignment horizontal="center" vertical="center" wrapText="1"/>
      <protection locked="0"/>
    </xf>
    <xf numFmtId="192" fontId="4" fillId="24" borderId="23" xfId="55" applyNumberFormat="1" applyFont="1" applyFill="1" applyBorder="1" applyAlignment="1" applyProtection="1">
      <alignment horizontal="center" vertical="center" wrapText="1"/>
      <protection locked="0"/>
    </xf>
    <xf numFmtId="192" fontId="4" fillId="24" borderId="24" xfId="55" applyNumberFormat="1" applyFont="1" applyFill="1" applyBorder="1" applyAlignment="1" applyProtection="1">
      <alignment horizontal="center" vertical="center" wrapText="1"/>
      <protection locked="0"/>
    </xf>
    <xf numFmtId="194" fontId="4" fillId="26" borderId="12" xfId="55" applyNumberFormat="1" applyFont="1" applyFill="1" applyBorder="1" applyAlignment="1" applyProtection="1">
      <alignment horizontal="center" vertical="center" wrapText="1"/>
      <protection locked="0"/>
    </xf>
    <xf numFmtId="194" fontId="4" fillId="26" borderId="22" xfId="55" applyNumberFormat="1" applyFont="1" applyFill="1" applyBorder="1" applyAlignment="1" applyProtection="1">
      <alignment horizontal="center" vertical="center" wrapText="1"/>
      <protection locked="0"/>
    </xf>
    <xf numFmtId="194" fontId="4" fillId="26" borderId="23" xfId="55" applyNumberFormat="1" applyFont="1" applyFill="1" applyBorder="1" applyAlignment="1" applyProtection="1">
      <alignment horizontal="center" vertical="center" wrapText="1"/>
      <protection locked="0"/>
    </xf>
    <xf numFmtId="194" fontId="4" fillId="26" borderId="24" xfId="55" applyNumberFormat="1" applyFont="1" applyFill="1" applyBorder="1" applyAlignment="1" applyProtection="1">
      <alignment horizontal="center" vertical="center" wrapText="1"/>
      <protection locked="0"/>
    </xf>
    <xf numFmtId="194" fontId="4" fillId="28" borderId="19" xfId="0" applyNumberFormat="1" applyFont="1" applyFill="1" applyBorder="1" applyAlignment="1">
      <alignment horizontal="center" vertical="center"/>
    </xf>
    <xf numFmtId="192" fontId="8" fillId="3" borderId="31" xfId="0" applyNumberFormat="1" applyFont="1" applyFill="1" applyBorder="1" applyAlignment="1">
      <alignment horizontal="center" vertical="center"/>
    </xf>
    <xf numFmtId="194" fontId="4" fillId="27" borderId="31" xfId="55" applyNumberFormat="1" applyFont="1" applyFill="1" applyBorder="1" applyAlignment="1" applyProtection="1">
      <alignment horizontal="center" vertical="center" wrapText="1"/>
      <protection locked="0"/>
    </xf>
    <xf numFmtId="194" fontId="4" fillId="27" borderId="32" xfId="55" applyNumberFormat="1" applyFont="1" applyFill="1" applyBorder="1" applyAlignment="1" applyProtection="1">
      <alignment horizontal="center" vertical="center" wrapText="1"/>
      <protection locked="0"/>
    </xf>
    <xf numFmtId="194" fontId="4" fillId="28" borderId="33" xfId="0" applyNumberFormat="1" applyFont="1" applyFill="1" applyBorder="1" applyAlignment="1">
      <alignment horizontal="center" vertical="center"/>
    </xf>
    <xf numFmtId="194" fontId="8" fillId="15" borderId="12" xfId="55" applyNumberFormat="1" applyFont="1" applyFill="1" applyBorder="1" applyAlignment="1" applyProtection="1">
      <alignment horizontal="center" vertical="center" wrapText="1"/>
      <protection locked="0"/>
    </xf>
    <xf numFmtId="194" fontId="8" fillId="15" borderId="24" xfId="55" applyNumberFormat="1" applyFont="1" applyFill="1" applyBorder="1" applyAlignment="1" applyProtection="1">
      <alignment horizontal="center" vertical="center" wrapText="1"/>
      <protection locked="0"/>
    </xf>
    <xf numFmtId="194" fontId="8" fillId="3" borderId="11" xfId="55" applyNumberFormat="1" applyFont="1" applyFill="1" applyBorder="1" applyAlignment="1" applyProtection="1">
      <alignment horizontal="center" vertical="center" wrapText="1"/>
      <protection locked="0"/>
    </xf>
    <xf numFmtId="194" fontId="8" fillId="3" borderId="10" xfId="55" applyNumberFormat="1" applyFont="1" applyFill="1" applyBorder="1" applyAlignment="1" applyProtection="1">
      <alignment horizontal="center" vertical="center" wrapText="1"/>
      <protection locked="0"/>
    </xf>
    <xf numFmtId="194" fontId="8" fillId="3" borderId="12" xfId="55" applyNumberFormat="1" applyFont="1" applyFill="1" applyBorder="1" applyAlignment="1" applyProtection="1">
      <alignment horizontal="center" vertical="center" wrapText="1"/>
      <protection locked="0"/>
    </xf>
    <xf numFmtId="194" fontId="8" fillId="3" borderId="22" xfId="55" applyNumberFormat="1" applyFont="1" applyFill="1" applyBorder="1" applyAlignment="1" applyProtection="1">
      <alignment horizontal="center" vertical="center" wrapText="1"/>
      <protection locked="0"/>
    </xf>
    <xf numFmtId="194" fontId="8" fillId="3" borderId="23" xfId="55" applyNumberFormat="1" applyFont="1" applyFill="1" applyBorder="1" applyAlignment="1" applyProtection="1">
      <alignment horizontal="center" vertical="center" wrapText="1"/>
      <protection locked="0"/>
    </xf>
    <xf numFmtId="194" fontId="8" fillId="3" borderId="24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center" vertical="center"/>
    </xf>
    <xf numFmtId="196" fontId="4" fillId="8" borderId="19" xfId="0" applyNumberFormat="1" applyFont="1" applyFill="1" applyBorder="1" applyAlignment="1">
      <alignment horizontal="center" vertical="center" wrapText="1"/>
    </xf>
    <xf numFmtId="194" fontId="8" fillId="3" borderId="17" xfId="55" applyNumberFormat="1" applyFont="1" applyFill="1" applyBorder="1" applyAlignment="1" applyProtection="1">
      <alignment horizontal="center" vertical="center" wrapText="1"/>
      <protection locked="0"/>
    </xf>
    <xf numFmtId="194" fontId="8" fillId="3" borderId="14" xfId="55" applyNumberFormat="1" applyFont="1" applyFill="1" applyBorder="1" applyAlignment="1" applyProtection="1">
      <alignment horizontal="center" vertical="center" wrapText="1"/>
      <protection locked="0"/>
    </xf>
    <xf numFmtId="194" fontId="8" fillId="3" borderId="15" xfId="55" applyNumberFormat="1" applyFont="1" applyFill="1" applyBorder="1" applyAlignment="1" applyProtection="1">
      <alignment horizontal="center" vertical="center" wrapText="1"/>
      <protection locked="0"/>
    </xf>
    <xf numFmtId="194" fontId="8" fillId="28" borderId="34" xfId="0" applyNumberFormat="1" applyFont="1" applyFill="1" applyBorder="1" applyAlignment="1">
      <alignment horizontal="center" vertical="center" wrapText="1"/>
    </xf>
    <xf numFmtId="194" fontId="8" fillId="28" borderId="35" xfId="0" applyNumberFormat="1" applyFont="1" applyFill="1" applyBorder="1" applyAlignment="1">
      <alignment horizontal="center" vertical="center" wrapText="1"/>
    </xf>
    <xf numFmtId="194" fontId="8" fillId="0" borderId="17" xfId="0" applyNumberFormat="1" applyFont="1" applyFill="1" applyBorder="1" applyAlignment="1">
      <alignment horizontal="center" vertical="center" wrapText="1"/>
    </xf>
    <xf numFmtId="194" fontId="8" fillId="29" borderId="14" xfId="0" applyNumberFormat="1" applyFont="1" applyFill="1" applyBorder="1" applyAlignment="1">
      <alignment horizontal="center" vertical="center" wrapText="1"/>
    </xf>
    <xf numFmtId="194" fontId="8" fillId="29" borderId="15" xfId="0" applyNumberFormat="1" applyFont="1" applyFill="1" applyBorder="1" applyAlignment="1">
      <alignment horizontal="center" vertical="center" wrapText="1"/>
    </xf>
    <xf numFmtId="194" fontId="8" fillId="3" borderId="17" xfId="0" applyNumberFormat="1" applyFont="1" applyFill="1" applyBorder="1" applyAlignment="1">
      <alignment horizontal="center" vertical="center" wrapText="1"/>
    </xf>
    <xf numFmtId="194" fontId="8" fillId="3" borderId="14" xfId="0" applyNumberFormat="1" applyFont="1" applyFill="1" applyBorder="1" applyAlignment="1">
      <alignment horizontal="center" vertical="center" wrapText="1"/>
    </xf>
    <xf numFmtId="194" fontId="8" fillId="3" borderId="15" xfId="0" applyNumberFormat="1" applyFont="1" applyFill="1" applyBorder="1" applyAlignment="1">
      <alignment horizontal="center" vertical="center" wrapText="1"/>
    </xf>
    <xf numFmtId="194" fontId="8" fillId="28" borderId="36" xfId="0" applyNumberFormat="1" applyFont="1" applyFill="1" applyBorder="1" applyAlignment="1">
      <alignment horizontal="center" vertical="center" wrapText="1"/>
    </xf>
    <xf numFmtId="194" fontId="8" fillId="28" borderId="21" xfId="0" applyNumberFormat="1" applyFont="1" applyFill="1" applyBorder="1" applyAlignment="1">
      <alignment horizontal="center" vertical="center" wrapText="1"/>
    </xf>
    <xf numFmtId="194" fontId="8" fillId="15" borderId="17" xfId="0" applyNumberFormat="1" applyFont="1" applyFill="1" applyBorder="1" applyAlignment="1">
      <alignment horizontal="center" vertical="center" wrapText="1"/>
    </xf>
    <xf numFmtId="194" fontId="8" fillId="15" borderId="14" xfId="0" applyNumberFormat="1" applyFont="1" applyFill="1" applyBorder="1" applyAlignment="1">
      <alignment horizontal="center" vertical="center" wrapText="1"/>
    </xf>
    <xf numFmtId="194" fontId="8" fillId="15" borderId="15" xfId="0" applyNumberFormat="1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10" fillId="25" borderId="37" xfId="0" applyFont="1" applyFill="1" applyBorder="1" applyAlignment="1">
      <alignment horizontal="center" vertical="center" wrapText="1"/>
    </xf>
    <xf numFmtId="0" fontId="10" fillId="25" borderId="38" xfId="0" applyFont="1" applyFill="1" applyBorder="1" applyAlignment="1">
      <alignment horizontal="center" vertical="center" wrapText="1"/>
    </xf>
    <xf numFmtId="194" fontId="8" fillId="26" borderId="17" xfId="0" applyNumberFormat="1" applyFont="1" applyFill="1" applyBorder="1" applyAlignment="1">
      <alignment horizontal="center" vertical="center" wrapText="1"/>
    </xf>
    <xf numFmtId="194" fontId="8" fillId="26" borderId="14" xfId="0" applyNumberFormat="1" applyFont="1" applyFill="1" applyBorder="1" applyAlignment="1">
      <alignment horizontal="center" vertical="center" wrapText="1"/>
    </xf>
    <xf numFmtId="194" fontId="8" fillId="26" borderId="15" xfId="0" applyNumberFormat="1" applyFont="1" applyFill="1" applyBorder="1" applyAlignment="1">
      <alignment horizontal="center" vertical="center" wrapText="1"/>
    </xf>
    <xf numFmtId="0" fontId="8" fillId="21" borderId="17" xfId="0" applyFont="1" applyFill="1" applyBorder="1" applyAlignment="1">
      <alignment horizontal="center" vertical="center" wrapText="1"/>
    </xf>
    <xf numFmtId="0" fontId="8" fillId="21" borderId="14" xfId="0" applyFont="1" applyFill="1" applyBorder="1" applyAlignment="1">
      <alignment horizontal="center" vertical="center" wrapText="1"/>
    </xf>
    <xf numFmtId="0" fontId="8" fillId="21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  <protection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192" fontId="8" fillId="3" borderId="17" xfId="0" applyNumberFormat="1" applyFont="1" applyFill="1" applyBorder="1" applyAlignment="1">
      <alignment horizontal="center" vertical="center" wrapText="1"/>
    </xf>
    <xf numFmtId="192" fontId="8" fillId="3" borderId="14" xfId="0" applyNumberFormat="1" applyFont="1" applyFill="1" applyBorder="1" applyAlignment="1">
      <alignment horizontal="center" vertical="center" wrapText="1"/>
    </xf>
    <xf numFmtId="192" fontId="8" fillId="3" borderId="15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94" fontId="11" fillId="27" borderId="17" xfId="0" applyNumberFormat="1" applyFont="1" applyFill="1" applyBorder="1" applyAlignment="1">
      <alignment horizontal="center" vertical="center" wrapText="1"/>
    </xf>
    <xf numFmtId="194" fontId="11" fillId="27" borderId="14" xfId="0" applyNumberFormat="1" applyFont="1" applyFill="1" applyBorder="1" applyAlignment="1">
      <alignment horizontal="center" vertical="center" wrapText="1"/>
    </xf>
    <xf numFmtId="194" fontId="11" fillId="27" borderId="42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Millares_FORMATOS" xfId="51"/>
    <cellStyle name="Currency" xfId="52"/>
    <cellStyle name="Currency [0]" xfId="53"/>
    <cellStyle name="Neutral" xfId="54"/>
    <cellStyle name="Normal 2" xfId="55"/>
    <cellStyle name="Normal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M38"/>
  <sheetViews>
    <sheetView tabSelected="1" zoomScalePageLayoutView="0" workbookViewId="0" topLeftCell="A16">
      <selection activeCell="J25" sqref="J25"/>
    </sheetView>
  </sheetViews>
  <sheetFormatPr defaultColWidth="11.421875" defaultRowHeight="12.75"/>
  <cols>
    <col min="1" max="1" width="5.8515625" style="1" customWidth="1"/>
    <col min="2" max="2" width="27.7109375" style="2" customWidth="1"/>
    <col min="3" max="3" width="10.28125" style="1" customWidth="1"/>
    <col min="4" max="4" width="10.57421875" style="1" customWidth="1"/>
    <col min="5" max="5" width="9.8515625" style="1" customWidth="1"/>
    <col min="6" max="6" width="12.28125" style="1" customWidth="1"/>
    <col min="7" max="7" width="4.8515625" style="3" customWidth="1"/>
    <col min="8" max="8" width="13.00390625" style="4" customWidth="1"/>
    <col min="9" max="9" width="16.7109375" style="4" customWidth="1"/>
    <col min="10" max="10" width="12.7109375" style="4" customWidth="1"/>
    <col min="11" max="11" width="12.421875" style="2" customWidth="1"/>
    <col min="12" max="12" width="0" style="2" hidden="1" customWidth="1"/>
    <col min="13" max="14" width="13.421875" style="2" hidden="1" customWidth="1"/>
    <col min="15" max="15" width="2.7109375" style="2" hidden="1" customWidth="1"/>
    <col min="16" max="18" width="0" style="2" hidden="1" customWidth="1"/>
    <col min="19" max="19" width="6.57421875" style="4" hidden="1" customWidth="1"/>
    <col min="20" max="20" width="0" style="2" hidden="1" customWidth="1"/>
    <col min="21" max="21" width="14.8515625" style="2" hidden="1" customWidth="1"/>
    <col min="22" max="22" width="0" style="2" hidden="1" customWidth="1"/>
    <col min="23" max="23" width="5.28125" style="4" hidden="1" customWidth="1"/>
    <col min="24" max="25" width="0" style="2" hidden="1" customWidth="1"/>
    <col min="26" max="26" width="14.421875" style="2" hidden="1" customWidth="1"/>
    <col min="27" max="27" width="12.57421875" style="2" hidden="1" customWidth="1"/>
    <col min="28" max="28" width="15.28125" style="2" hidden="1" customWidth="1"/>
    <col min="29" max="29" width="13.140625" style="2" hidden="1" customWidth="1"/>
    <col min="30" max="33" width="0" style="2" hidden="1" customWidth="1"/>
    <col min="34" max="34" width="16.28125" style="2" hidden="1" customWidth="1"/>
    <col min="35" max="39" width="0" style="2" hidden="1" customWidth="1"/>
    <col min="40" max="40" width="19.00390625" style="2" hidden="1" customWidth="1"/>
    <col min="41" max="46" width="0" style="2" hidden="1" customWidth="1"/>
    <col min="47" max="47" width="14.00390625" style="2" hidden="1" customWidth="1"/>
    <col min="48" max="62" width="0" style="2" hidden="1" customWidth="1"/>
    <col min="63" max="63" width="11.421875" style="2" customWidth="1"/>
    <col min="64" max="64" width="24.7109375" style="2" customWidth="1"/>
    <col min="65" max="16384" width="11.421875" style="2" customWidth="1"/>
  </cols>
  <sheetData>
    <row r="3" ht="9" customHeight="1"/>
    <row r="7" spans="1:64" ht="21" customHeight="1">
      <c r="A7" s="173" t="s">
        <v>25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</row>
    <row r="8" spans="1:64" ht="30" customHeight="1">
      <c r="A8" s="173" t="s">
        <v>49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</row>
    <row r="9" spans="1:64" ht="19.5" customHeight="1">
      <c r="A9" s="173" t="s">
        <v>26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</row>
    <row r="10" spans="1:10" ht="15.75" customHeight="1" thickBot="1">
      <c r="A10" s="5"/>
      <c r="B10" s="4"/>
      <c r="C10" s="5"/>
      <c r="D10" s="5"/>
      <c r="E10" s="5"/>
      <c r="F10" s="5"/>
      <c r="G10" s="6"/>
      <c r="H10" s="6"/>
      <c r="I10" s="6"/>
      <c r="J10" s="6"/>
    </row>
    <row r="11" spans="8:65" ht="24" customHeight="1" thickBot="1">
      <c r="H11" s="177" t="s">
        <v>17</v>
      </c>
      <c r="I11" s="178"/>
      <c r="J11" s="179"/>
      <c r="K11" s="7"/>
      <c r="L11" s="180" t="s">
        <v>18</v>
      </c>
      <c r="M11" s="181"/>
      <c r="N11" s="181"/>
      <c r="O11" s="7"/>
      <c r="P11" s="180" t="s">
        <v>0</v>
      </c>
      <c r="Q11" s="181"/>
      <c r="R11" s="181"/>
      <c r="S11" s="7"/>
      <c r="T11" s="180" t="s">
        <v>19</v>
      </c>
      <c r="U11" s="181"/>
      <c r="V11" s="182"/>
      <c r="W11" s="7"/>
      <c r="X11" s="174" t="s">
        <v>1</v>
      </c>
      <c r="Y11" s="175"/>
      <c r="Z11" s="176"/>
      <c r="AA11" s="8"/>
      <c r="AB11" s="9"/>
      <c r="AC11" s="9"/>
      <c r="AD11" s="9"/>
      <c r="AE11" s="9"/>
      <c r="AF11" s="10"/>
      <c r="AG11" s="170" t="s">
        <v>2</v>
      </c>
      <c r="AH11" s="171"/>
      <c r="AI11" s="172"/>
      <c r="AJ11" s="11"/>
      <c r="AK11" s="162" t="s">
        <v>3</v>
      </c>
      <c r="AL11" s="163"/>
      <c r="AM11" s="164"/>
      <c r="AN11" s="165" t="s">
        <v>48</v>
      </c>
      <c r="AO11" s="12"/>
      <c r="AP11" s="167" t="s">
        <v>4</v>
      </c>
      <c r="AQ11" s="168"/>
      <c r="AR11" s="169"/>
      <c r="AS11" s="11"/>
      <c r="AT11" s="183" t="s">
        <v>5</v>
      </c>
      <c r="AU11" s="184"/>
      <c r="AV11" s="185"/>
      <c r="AW11" s="157" t="s">
        <v>6</v>
      </c>
      <c r="AX11" s="9"/>
      <c r="AY11" s="159" t="s">
        <v>46</v>
      </c>
      <c r="AZ11" s="160"/>
      <c r="BA11" s="161"/>
      <c r="BC11" s="151" t="s">
        <v>47</v>
      </c>
      <c r="BD11" s="152"/>
      <c r="BE11" s="153"/>
      <c r="BF11" s="13"/>
      <c r="BG11" s="154" t="s">
        <v>7</v>
      </c>
      <c r="BH11" s="155"/>
      <c r="BI11" s="156"/>
      <c r="BJ11" s="149" t="s">
        <v>6</v>
      </c>
      <c r="BK11" s="9"/>
      <c r="BL11" s="149" t="s">
        <v>8</v>
      </c>
      <c r="BM11" s="9"/>
    </row>
    <row r="12" spans="1:65" s="5" customFormat="1" ht="42" customHeight="1" thickBot="1">
      <c r="A12" s="87" t="s">
        <v>22</v>
      </c>
      <c r="B12" s="88" t="s">
        <v>23</v>
      </c>
      <c r="C12" s="88" t="s">
        <v>24</v>
      </c>
      <c r="D12" s="89" t="s">
        <v>20</v>
      </c>
      <c r="E12" s="89" t="s">
        <v>21</v>
      </c>
      <c r="F12" s="90" t="s">
        <v>16</v>
      </c>
      <c r="G12" s="14"/>
      <c r="H12" s="15" t="s">
        <v>27</v>
      </c>
      <c r="I12" s="16" t="s">
        <v>28</v>
      </c>
      <c r="J12" s="17" t="s">
        <v>29</v>
      </c>
      <c r="K12" s="18"/>
      <c r="L12" s="105" t="s">
        <v>27</v>
      </c>
      <c r="M12" s="106" t="s">
        <v>28</v>
      </c>
      <c r="N12" s="107" t="s">
        <v>29</v>
      </c>
      <c r="O12" s="18"/>
      <c r="P12" s="15" t="s">
        <v>27</v>
      </c>
      <c r="Q12" s="16" t="s">
        <v>28</v>
      </c>
      <c r="R12" s="17" t="s">
        <v>29</v>
      </c>
      <c r="S12" s="18"/>
      <c r="T12" s="15" t="s">
        <v>27</v>
      </c>
      <c r="U12" s="16" t="s">
        <v>28</v>
      </c>
      <c r="V12" s="17" t="s">
        <v>29</v>
      </c>
      <c r="W12" s="18"/>
      <c r="X12" s="15" t="s">
        <v>27</v>
      </c>
      <c r="Y12" s="16" t="s">
        <v>28</v>
      </c>
      <c r="Z12" s="17" t="s">
        <v>29</v>
      </c>
      <c r="AA12" s="19" t="s">
        <v>9</v>
      </c>
      <c r="AB12" s="20" t="s">
        <v>10</v>
      </c>
      <c r="AC12" s="20" t="s">
        <v>11</v>
      </c>
      <c r="AD12" s="20" t="s">
        <v>12</v>
      </c>
      <c r="AE12" s="21" t="s">
        <v>13</v>
      </c>
      <c r="AF12" s="22"/>
      <c r="AG12" s="15" t="s">
        <v>27</v>
      </c>
      <c r="AH12" s="16" t="s">
        <v>28</v>
      </c>
      <c r="AI12" s="17" t="s">
        <v>29</v>
      </c>
      <c r="AJ12" s="22"/>
      <c r="AK12" s="15" t="s">
        <v>27</v>
      </c>
      <c r="AL12" s="16" t="s">
        <v>28</v>
      </c>
      <c r="AM12" s="17" t="s">
        <v>29</v>
      </c>
      <c r="AN12" s="166"/>
      <c r="AO12" s="23"/>
      <c r="AP12" s="15" t="s">
        <v>27</v>
      </c>
      <c r="AQ12" s="16" t="s">
        <v>28</v>
      </c>
      <c r="AR12" s="17" t="s">
        <v>29</v>
      </c>
      <c r="AS12" s="22"/>
      <c r="AT12" s="15" t="s">
        <v>27</v>
      </c>
      <c r="AU12" s="16" t="s">
        <v>28</v>
      </c>
      <c r="AV12" s="132" t="s">
        <v>29</v>
      </c>
      <c r="AW12" s="158"/>
      <c r="AX12" s="24"/>
      <c r="AY12" s="15" t="s">
        <v>27</v>
      </c>
      <c r="AZ12" s="16" t="s">
        <v>28</v>
      </c>
      <c r="BA12" s="17" t="s">
        <v>29</v>
      </c>
      <c r="BC12" s="15" t="s">
        <v>27</v>
      </c>
      <c r="BD12" s="16" t="s">
        <v>28</v>
      </c>
      <c r="BE12" s="17" t="s">
        <v>29</v>
      </c>
      <c r="BF12" s="22"/>
      <c r="BG12" s="105" t="s">
        <v>27</v>
      </c>
      <c r="BH12" s="106" t="s">
        <v>28</v>
      </c>
      <c r="BI12" s="107" t="s">
        <v>29</v>
      </c>
      <c r="BJ12" s="150"/>
      <c r="BK12" s="24"/>
      <c r="BL12" s="150"/>
      <c r="BM12" s="24"/>
    </row>
    <row r="13" spans="1:65" ht="61.5" customHeight="1">
      <c r="A13" s="91">
        <v>1</v>
      </c>
      <c r="B13" s="92" t="s">
        <v>30</v>
      </c>
      <c r="C13" s="93">
        <v>1</v>
      </c>
      <c r="D13" s="94">
        <v>1032150</v>
      </c>
      <c r="E13" s="94">
        <f>+D13*16%</f>
        <v>165144</v>
      </c>
      <c r="F13" s="95">
        <f aca="true" t="shared" si="0" ref="F13:F19">(E13+D13)*C13</f>
        <v>1197294</v>
      </c>
      <c r="G13" s="29"/>
      <c r="H13" s="30">
        <v>2111432</v>
      </c>
      <c r="I13" s="31"/>
      <c r="J13" s="102"/>
      <c r="K13" s="33"/>
      <c r="L13" s="34" t="s">
        <v>14</v>
      </c>
      <c r="M13" s="35" t="s">
        <v>14</v>
      </c>
      <c r="N13" s="108" t="s">
        <v>14</v>
      </c>
      <c r="O13" s="36"/>
      <c r="P13" s="37" t="s">
        <v>14</v>
      </c>
      <c r="Q13" s="38" t="s">
        <v>15</v>
      </c>
      <c r="R13" s="39" t="s">
        <v>15</v>
      </c>
      <c r="S13" s="36"/>
      <c r="T13" s="40">
        <f aca="true" t="shared" si="1" ref="T13:T30">IF(L13="NO CUMPLE","",IF(P13="NO CUMPLE","",IF(P13="NC","",IF(P13="CUMPLE",H13))))</f>
        <v>2111432</v>
      </c>
      <c r="U13" s="41">
        <f aca="true" t="shared" si="2" ref="U13:U30">IF(M13="NO CUMPLE","",IF(Q13="NO CUMPLE","",IF(Q13="NC","",IF(Q13="CUMPLE",I13))))</f>
      </c>
      <c r="V13" s="111">
        <f aca="true" t="shared" si="3" ref="U13:V30">IF(N13="NO CUMPLE","",IF(R13="NO CUMPLE","",IF(R13="NC","",IF(R13="CUMPLE",J13))))</f>
      </c>
      <c r="W13" s="36"/>
      <c r="X13" s="42">
        <f aca="true" t="shared" si="4" ref="X13:X30">IF(T13&gt;$F13,"",H13)</f>
      </c>
      <c r="Y13" s="43">
        <f aca="true" t="shared" si="5" ref="Y13:Y30">IF(U13&gt;$F13,"",I13)</f>
      </c>
      <c r="Z13" s="115">
        <f aca="true" t="shared" si="6" ref="Z13:Z30">IF(V13&gt;$F13,"",J13)</f>
      </c>
      <c r="AA13" s="44">
        <f aca="true" t="shared" si="7" ref="AA13:AA30">COUNTIF(X13:Z13,"&gt;0")</f>
        <v>0</v>
      </c>
      <c r="AB13" s="45">
        <f>IF(AA13=2,1,IF(AA13=3,2,IF(AA13=4,2,IF(AA13=5,3,IF(AA13=6,3,IF(AA13=7,4,IF(AA13=8,4,IF(AA13&gt;8,5,))))))))</f>
        <v>0</v>
      </c>
      <c r="AC13" s="46">
        <f aca="true" t="shared" si="8" ref="AC13:AC30">SUM(X13:Z13)</f>
        <v>0</v>
      </c>
      <c r="AD13" s="46">
        <f aca="true" t="shared" si="9" ref="AD13:AD30">+AC13+(AB13*F13)</f>
        <v>0</v>
      </c>
      <c r="AE13" s="47" t="e">
        <f>+AD13/(AA13+AB13)</f>
        <v>#DIV/0!</v>
      </c>
      <c r="AF13" s="48"/>
      <c r="AG13" s="49">
        <f aca="true" t="shared" si="10" ref="AG13:AG30">IF(X13="","",(X13*100)/$AE13)</f>
      </c>
      <c r="AH13" s="50">
        <f aca="true" t="shared" si="11" ref="AH13:AH30">IF(Y13="","",(Y13*100)/$AE13)</f>
      </c>
      <c r="AI13" s="119">
        <f aca="true" t="shared" si="12" ref="AI13:AI30">IF(Z13="","",(Z13*100)/$AE13)</f>
      </c>
      <c r="AJ13" s="48"/>
      <c r="AK13" s="51">
        <f aca="true" t="shared" si="13" ref="AK13:AK30">IF(X13="","",ABS(X13-$AE13))</f>
      </c>
      <c r="AL13" s="52">
        <f aca="true" t="shared" si="14" ref="AL13:AL30">IF(Y13="","",ABS(Y13-$AE13))</f>
      </c>
      <c r="AM13" s="123">
        <f aca="true" t="shared" si="15" ref="AM13:AM30">IF(Z13="","",ABS(Z13-$AE13))</f>
      </c>
      <c r="AN13" s="53" t="e">
        <f>(AE13)*15%/75</f>
        <v>#DIV/0!</v>
      </c>
      <c r="AO13" s="54"/>
      <c r="AP13" s="55">
        <f aca="true" t="shared" si="16" ref="AP13:AP30">IF(AK13="","",ABS(AK13/$AN13))</f>
      </c>
      <c r="AQ13" s="56">
        <f aca="true" t="shared" si="17" ref="AQ13:AQ30">IF(AL13="","",ABS(AL13/$AN13))</f>
      </c>
      <c r="AR13" s="127">
        <f aca="true" t="shared" si="18" ref="AR13:AR30">IF(AM13="","",ABS(AM13/$AN13))</f>
      </c>
      <c r="AS13" s="57"/>
      <c r="AT13" s="58">
        <f>IF(AP13="","",IF(75-AP13&lt;0,0,IF(AP13="","",75-AP13)))</f>
      </c>
      <c r="AU13" s="59">
        <f>IF(AQ13="","",IF(75-AQ13&lt;0,0,IF(AQ13="","",75-AQ13)))</f>
      </c>
      <c r="AV13" s="133">
        <f>IF(AR13="","",IF(75-AR13&lt;0,0,IF(AR13="","",75-AR13)))</f>
      </c>
      <c r="AW13" s="62">
        <f aca="true" t="shared" si="19" ref="AW13:AW30">MAX(AT13:AV13)</f>
        <v>0</v>
      </c>
      <c r="AX13" s="24"/>
      <c r="AY13" s="60">
        <f>IF(AT13="","",IF($AW13=AT13,75,(AT13*75/$AW13)))</f>
      </c>
      <c r="AZ13" s="61">
        <f>IF(AU13="","",IF($AW13=AU13,75,(AU13*75/$AW13)))</f>
      </c>
      <c r="BA13" s="136">
        <f>IF(AV13="","",IF($AW13=AV13,75,(AV13*75/$AW13)))</f>
      </c>
      <c r="BC13" s="65">
        <v>25</v>
      </c>
      <c r="BD13" s="38" t="s">
        <v>15</v>
      </c>
      <c r="BE13" s="39" t="s">
        <v>15</v>
      </c>
      <c r="BF13" s="25"/>
      <c r="BG13" s="146">
        <f>IF(AY13="","",+AY13+BC13)</f>
      </c>
      <c r="BH13" s="147">
        <f>IF(AZ13="","",+AZ13+BD13)</f>
      </c>
      <c r="BI13" s="148">
        <f>IF(BA13="","",+BA13+BE13)</f>
      </c>
      <c r="BJ13" s="131">
        <f aca="true" t="shared" si="20" ref="BJ13:BJ30">MAX(BG13:BI13)</f>
        <v>0</v>
      </c>
      <c r="BK13" s="24"/>
      <c r="BL13" s="144">
        <f>IF($BJ13=BG13,(BG$12),IF($BJ13=BH13,(BH$12),IF($BJ13=BI13,(BI$12),"")))</f>
      </c>
      <c r="BM13" s="24"/>
    </row>
    <row r="14" spans="1:65" ht="61.5" customHeight="1">
      <c r="A14" s="26">
        <v>2</v>
      </c>
      <c r="B14" s="86" t="s">
        <v>31</v>
      </c>
      <c r="C14" s="27">
        <v>1</v>
      </c>
      <c r="D14" s="28">
        <v>2068500</v>
      </c>
      <c r="E14" s="28">
        <f>+D14*16%</f>
        <v>330960</v>
      </c>
      <c r="F14" s="96">
        <f t="shared" si="0"/>
        <v>2399460</v>
      </c>
      <c r="G14" s="29"/>
      <c r="H14" s="30">
        <v>3654232</v>
      </c>
      <c r="I14" s="31"/>
      <c r="J14" s="102"/>
      <c r="K14" s="33"/>
      <c r="L14" s="63" t="s">
        <v>14</v>
      </c>
      <c r="M14" s="64" t="s">
        <v>14</v>
      </c>
      <c r="N14" s="109" t="s">
        <v>14</v>
      </c>
      <c r="O14" s="36"/>
      <c r="P14" s="37" t="s">
        <v>14</v>
      </c>
      <c r="Q14" s="38" t="s">
        <v>15</v>
      </c>
      <c r="R14" s="39" t="s">
        <v>15</v>
      </c>
      <c r="S14" s="36"/>
      <c r="T14" s="40">
        <f t="shared" si="1"/>
        <v>3654232</v>
      </c>
      <c r="U14" s="41">
        <f t="shared" si="2"/>
      </c>
      <c r="V14" s="111">
        <f t="shared" si="3"/>
      </c>
      <c r="W14" s="36"/>
      <c r="X14" s="42">
        <f t="shared" si="4"/>
      </c>
      <c r="Y14" s="43">
        <f t="shared" si="5"/>
      </c>
      <c r="Z14" s="115">
        <f t="shared" si="6"/>
      </c>
      <c r="AA14" s="44">
        <f t="shared" si="7"/>
        <v>0</v>
      </c>
      <c r="AB14" s="45">
        <f aca="true" t="shared" si="21" ref="AB14:AB26">IF(AA14=2,1,IF(AA14=3,2,IF(AA14=4,2,IF(AA14=5,3,IF(AA14=6,3,IF(AA14=7,4,IF(AA14=8,4,IF(AA14&gt;8,5,))))))))</f>
        <v>0</v>
      </c>
      <c r="AC14" s="46">
        <f t="shared" si="8"/>
        <v>0</v>
      </c>
      <c r="AD14" s="46">
        <f t="shared" si="9"/>
        <v>0</v>
      </c>
      <c r="AE14" s="47" t="e">
        <f aca="true" t="shared" si="22" ref="AE14:AE26">+AD14/(AA14+AB14)</f>
        <v>#DIV/0!</v>
      </c>
      <c r="AF14" s="48"/>
      <c r="AG14" s="49">
        <f t="shared" si="10"/>
      </c>
      <c r="AH14" s="50">
        <f t="shared" si="11"/>
      </c>
      <c r="AI14" s="119">
        <f t="shared" si="12"/>
      </c>
      <c r="AJ14" s="48"/>
      <c r="AK14" s="51">
        <f t="shared" si="13"/>
      </c>
      <c r="AL14" s="52">
        <f t="shared" si="14"/>
      </c>
      <c r="AM14" s="123">
        <f t="shared" si="15"/>
      </c>
      <c r="AN14" s="53" t="e">
        <f aca="true" t="shared" si="23" ref="AN14:AN30">(AE14)*15%/75</f>
        <v>#DIV/0!</v>
      </c>
      <c r="AO14" s="54"/>
      <c r="AP14" s="55">
        <f t="shared" si="16"/>
      </c>
      <c r="AQ14" s="56">
        <f t="shared" si="17"/>
      </c>
      <c r="AR14" s="127">
        <f t="shared" si="18"/>
      </c>
      <c r="AS14" s="57"/>
      <c r="AT14" s="58">
        <f aca="true" t="shared" si="24" ref="AT14:AT30">IF(AP14="","",IF(75-AP14&lt;0,0,IF(AP14="","",75-AP14)))</f>
      </c>
      <c r="AU14" s="59">
        <f aca="true" t="shared" si="25" ref="AU14:AU30">IF(AQ14="","",IF(75-AQ14&lt;0,0,IF(AQ14="","",75-AQ14)))</f>
      </c>
      <c r="AV14" s="133">
        <f aca="true" t="shared" si="26" ref="AV14:AV30">IF(AR14="","",IF(75-AR14&lt;0,0,IF(AR14="","",75-AR14)))</f>
      </c>
      <c r="AW14" s="62">
        <f t="shared" si="19"/>
        <v>0</v>
      </c>
      <c r="AY14" s="60">
        <f aca="true" t="shared" si="27" ref="AY14:AY30">IF(AT14="","",IF($AW14=AT14,75,(AT14*75/$AW14)))</f>
      </c>
      <c r="AZ14" s="61">
        <f aca="true" t="shared" si="28" ref="AZ14:AZ30">IF(AU14="","",IF($AW14=AU14,75,(AU14*75/$AW14)))</f>
      </c>
      <c r="BA14" s="136">
        <f aca="true" t="shared" si="29" ref="BA14:BA30">IF(AV14="","",IF($AW14=AV14,75,(AV14*75/$AW14)))</f>
      </c>
      <c r="BC14" s="65">
        <v>25</v>
      </c>
      <c r="BD14" s="38" t="s">
        <v>15</v>
      </c>
      <c r="BE14" s="39" t="s">
        <v>15</v>
      </c>
      <c r="BF14" s="25"/>
      <c r="BG14" s="139">
        <f aca="true" t="shared" si="30" ref="BG14:BG30">IF(AY14="","",+AY14+BC14)</f>
      </c>
      <c r="BH14" s="138">
        <f aca="true" t="shared" si="31" ref="BH14:BH30">IF(AZ14="","",+AZ14+BD14)</f>
      </c>
      <c r="BI14" s="140">
        <f aca="true" t="shared" si="32" ref="BI14:BI30">IF(BA14="","",+BA14+BE14)</f>
      </c>
      <c r="BJ14" s="131">
        <f t="shared" si="20"/>
        <v>0</v>
      </c>
      <c r="BK14" s="24"/>
      <c r="BL14" s="144">
        <f aca="true" t="shared" si="33" ref="BL14:BL30">IF($BJ14=BG14,(BG$12),IF($BJ14=BH14,(BH$12),IF($BJ14=BI14,(BI$12),"")))</f>
      </c>
      <c r="BM14" s="24"/>
    </row>
    <row r="15" spans="1:64" ht="61.5" customHeight="1">
      <c r="A15" s="26">
        <v>3</v>
      </c>
      <c r="B15" s="86" t="s">
        <v>32</v>
      </c>
      <c r="C15" s="27">
        <v>1</v>
      </c>
      <c r="D15" s="28">
        <v>2037000</v>
      </c>
      <c r="E15" s="28">
        <f>+D15*16%</f>
        <v>325920</v>
      </c>
      <c r="F15" s="96">
        <f t="shared" si="0"/>
        <v>2362920</v>
      </c>
      <c r="G15" s="29"/>
      <c r="H15" s="30">
        <v>3834960</v>
      </c>
      <c r="I15" s="32"/>
      <c r="J15" s="102"/>
      <c r="K15" s="33"/>
      <c r="L15" s="63" t="s">
        <v>14</v>
      </c>
      <c r="M15" s="64" t="s">
        <v>14</v>
      </c>
      <c r="N15" s="109" t="s">
        <v>14</v>
      </c>
      <c r="O15" s="36"/>
      <c r="P15" s="37" t="s">
        <v>14</v>
      </c>
      <c r="Q15" s="38" t="s">
        <v>15</v>
      </c>
      <c r="R15" s="39" t="s">
        <v>15</v>
      </c>
      <c r="S15" s="36"/>
      <c r="T15" s="40">
        <f t="shared" si="1"/>
        <v>3834960</v>
      </c>
      <c r="U15" s="41">
        <f t="shared" si="2"/>
      </c>
      <c r="V15" s="111">
        <f t="shared" si="3"/>
      </c>
      <c r="W15" s="36"/>
      <c r="X15" s="42">
        <f t="shared" si="4"/>
      </c>
      <c r="Y15" s="43">
        <f t="shared" si="5"/>
      </c>
      <c r="Z15" s="115">
        <f t="shared" si="6"/>
      </c>
      <c r="AA15" s="44">
        <f t="shared" si="7"/>
        <v>0</v>
      </c>
      <c r="AB15" s="45">
        <f t="shared" si="21"/>
        <v>0</v>
      </c>
      <c r="AC15" s="46">
        <f t="shared" si="8"/>
        <v>0</v>
      </c>
      <c r="AD15" s="46">
        <f t="shared" si="9"/>
        <v>0</v>
      </c>
      <c r="AE15" s="47" t="e">
        <f t="shared" si="22"/>
        <v>#DIV/0!</v>
      </c>
      <c r="AF15" s="48"/>
      <c r="AG15" s="49">
        <f t="shared" si="10"/>
      </c>
      <c r="AH15" s="50">
        <f t="shared" si="11"/>
      </c>
      <c r="AI15" s="119">
        <f t="shared" si="12"/>
      </c>
      <c r="AJ15" s="48"/>
      <c r="AK15" s="51">
        <f t="shared" si="13"/>
      </c>
      <c r="AL15" s="52">
        <f t="shared" si="14"/>
      </c>
      <c r="AM15" s="123">
        <f t="shared" si="15"/>
      </c>
      <c r="AN15" s="53" t="e">
        <f t="shared" si="23"/>
        <v>#DIV/0!</v>
      </c>
      <c r="AO15" s="54"/>
      <c r="AP15" s="55">
        <f t="shared" si="16"/>
      </c>
      <c r="AQ15" s="56">
        <f t="shared" si="17"/>
      </c>
      <c r="AR15" s="127">
        <f t="shared" si="18"/>
      </c>
      <c r="AS15" s="57"/>
      <c r="AT15" s="58">
        <f t="shared" si="24"/>
      </c>
      <c r="AU15" s="59">
        <f t="shared" si="25"/>
      </c>
      <c r="AV15" s="133">
        <f t="shared" si="26"/>
      </c>
      <c r="AW15" s="62">
        <f t="shared" si="19"/>
        <v>0</v>
      </c>
      <c r="AY15" s="60">
        <f t="shared" si="27"/>
      </c>
      <c r="AZ15" s="61">
        <f t="shared" si="28"/>
      </c>
      <c r="BA15" s="136">
        <f t="shared" si="29"/>
      </c>
      <c r="BC15" s="65">
        <v>25</v>
      </c>
      <c r="BD15" s="38" t="s">
        <v>15</v>
      </c>
      <c r="BE15" s="39" t="s">
        <v>15</v>
      </c>
      <c r="BG15" s="139">
        <f t="shared" si="30"/>
      </c>
      <c r="BH15" s="138">
        <f t="shared" si="31"/>
      </c>
      <c r="BI15" s="140">
        <f t="shared" si="32"/>
      </c>
      <c r="BJ15" s="131">
        <f t="shared" si="20"/>
        <v>0</v>
      </c>
      <c r="BL15" s="144">
        <f t="shared" si="33"/>
      </c>
    </row>
    <row r="16" spans="1:64" ht="61.5" customHeight="1">
      <c r="A16" s="26">
        <v>4</v>
      </c>
      <c r="B16" s="86" t="s">
        <v>33</v>
      </c>
      <c r="C16" s="27">
        <v>1</v>
      </c>
      <c r="D16" s="28">
        <v>1349250</v>
      </c>
      <c r="E16" s="28">
        <f>+D16*16%</f>
        <v>215880</v>
      </c>
      <c r="F16" s="96">
        <f t="shared" si="0"/>
        <v>1565130</v>
      </c>
      <c r="G16" s="29"/>
      <c r="H16" s="30">
        <v>2697696</v>
      </c>
      <c r="I16" s="32"/>
      <c r="J16" s="103"/>
      <c r="K16" s="33"/>
      <c r="L16" s="63" t="s">
        <v>14</v>
      </c>
      <c r="M16" s="64" t="s">
        <v>14</v>
      </c>
      <c r="N16" s="109" t="s">
        <v>14</v>
      </c>
      <c r="O16" s="36"/>
      <c r="P16" s="37" t="s">
        <v>14</v>
      </c>
      <c r="Q16" s="38" t="s">
        <v>15</v>
      </c>
      <c r="R16" s="39" t="s">
        <v>15</v>
      </c>
      <c r="S16" s="36"/>
      <c r="T16" s="40">
        <f t="shared" si="1"/>
        <v>2697696</v>
      </c>
      <c r="U16" s="41">
        <f t="shared" si="2"/>
      </c>
      <c r="V16" s="111">
        <f t="shared" si="3"/>
      </c>
      <c r="W16" s="36"/>
      <c r="X16" s="42">
        <f t="shared" si="4"/>
      </c>
      <c r="Y16" s="43">
        <f t="shared" si="5"/>
      </c>
      <c r="Z16" s="115">
        <f t="shared" si="6"/>
      </c>
      <c r="AA16" s="44">
        <f t="shared" si="7"/>
        <v>0</v>
      </c>
      <c r="AB16" s="45">
        <f t="shared" si="21"/>
        <v>0</v>
      </c>
      <c r="AC16" s="46">
        <f t="shared" si="8"/>
        <v>0</v>
      </c>
      <c r="AD16" s="46">
        <f t="shared" si="9"/>
        <v>0</v>
      </c>
      <c r="AE16" s="47" t="e">
        <f t="shared" si="22"/>
        <v>#DIV/0!</v>
      </c>
      <c r="AF16" s="48"/>
      <c r="AG16" s="49">
        <f t="shared" si="10"/>
      </c>
      <c r="AH16" s="50">
        <f t="shared" si="11"/>
      </c>
      <c r="AI16" s="119">
        <f t="shared" si="12"/>
      </c>
      <c r="AJ16" s="48"/>
      <c r="AK16" s="51">
        <f t="shared" si="13"/>
      </c>
      <c r="AL16" s="52">
        <f t="shared" si="14"/>
      </c>
      <c r="AM16" s="123">
        <f t="shared" si="15"/>
      </c>
      <c r="AN16" s="53" t="e">
        <f t="shared" si="23"/>
        <v>#DIV/0!</v>
      </c>
      <c r="AO16" s="54"/>
      <c r="AP16" s="55">
        <f t="shared" si="16"/>
      </c>
      <c r="AQ16" s="56">
        <f t="shared" si="17"/>
      </c>
      <c r="AR16" s="127">
        <f t="shared" si="18"/>
      </c>
      <c r="AS16" s="57"/>
      <c r="AT16" s="58">
        <f t="shared" si="24"/>
      </c>
      <c r="AU16" s="59">
        <f t="shared" si="25"/>
      </c>
      <c r="AV16" s="133">
        <f t="shared" si="26"/>
      </c>
      <c r="AW16" s="62">
        <f t="shared" si="19"/>
        <v>0</v>
      </c>
      <c r="AY16" s="60">
        <f t="shared" si="27"/>
      </c>
      <c r="AZ16" s="61">
        <f t="shared" si="28"/>
      </c>
      <c r="BA16" s="136">
        <f t="shared" si="29"/>
      </c>
      <c r="BC16" s="65">
        <v>25</v>
      </c>
      <c r="BD16" s="38" t="s">
        <v>15</v>
      </c>
      <c r="BE16" s="39" t="s">
        <v>15</v>
      </c>
      <c r="BG16" s="139">
        <f t="shared" si="30"/>
      </c>
      <c r="BH16" s="138">
        <f t="shared" si="31"/>
      </c>
      <c r="BI16" s="140">
        <f t="shared" si="32"/>
      </c>
      <c r="BJ16" s="131">
        <f t="shared" si="20"/>
        <v>0</v>
      </c>
      <c r="BL16" s="144">
        <f t="shared" si="33"/>
      </c>
    </row>
    <row r="17" spans="1:64" ht="61.5" customHeight="1">
      <c r="A17" s="26">
        <v>5</v>
      </c>
      <c r="B17" s="86" t="s">
        <v>34</v>
      </c>
      <c r="C17" s="27">
        <v>1</v>
      </c>
      <c r="D17" s="28">
        <v>1902600</v>
      </c>
      <c r="E17" s="28">
        <f>+D17*16%</f>
        <v>304416</v>
      </c>
      <c r="F17" s="96">
        <f t="shared" si="0"/>
        <v>2207016</v>
      </c>
      <c r="G17" s="29"/>
      <c r="H17" s="30">
        <v>3742392</v>
      </c>
      <c r="I17" s="32"/>
      <c r="J17" s="102"/>
      <c r="K17" s="33"/>
      <c r="L17" s="63" t="s">
        <v>14</v>
      </c>
      <c r="M17" s="64" t="s">
        <v>14</v>
      </c>
      <c r="N17" s="109" t="s">
        <v>14</v>
      </c>
      <c r="O17" s="36"/>
      <c r="P17" s="37" t="s">
        <v>14</v>
      </c>
      <c r="Q17" s="38" t="s">
        <v>15</v>
      </c>
      <c r="R17" s="39" t="s">
        <v>15</v>
      </c>
      <c r="S17" s="36"/>
      <c r="T17" s="40">
        <f t="shared" si="1"/>
        <v>3742392</v>
      </c>
      <c r="U17" s="41">
        <f t="shared" si="2"/>
      </c>
      <c r="V17" s="111">
        <f t="shared" si="3"/>
      </c>
      <c r="W17" s="36"/>
      <c r="X17" s="42">
        <f t="shared" si="4"/>
      </c>
      <c r="Y17" s="43">
        <f t="shared" si="5"/>
      </c>
      <c r="Z17" s="115">
        <f t="shared" si="6"/>
      </c>
      <c r="AA17" s="44">
        <f t="shared" si="7"/>
        <v>0</v>
      </c>
      <c r="AB17" s="45">
        <f t="shared" si="21"/>
        <v>0</v>
      </c>
      <c r="AC17" s="46">
        <f t="shared" si="8"/>
        <v>0</v>
      </c>
      <c r="AD17" s="46">
        <f t="shared" si="9"/>
        <v>0</v>
      </c>
      <c r="AE17" s="47" t="e">
        <f t="shared" si="22"/>
        <v>#DIV/0!</v>
      </c>
      <c r="AF17" s="48"/>
      <c r="AG17" s="49">
        <f t="shared" si="10"/>
      </c>
      <c r="AH17" s="50">
        <f t="shared" si="11"/>
      </c>
      <c r="AI17" s="119">
        <f t="shared" si="12"/>
      </c>
      <c r="AJ17" s="48"/>
      <c r="AK17" s="51">
        <f t="shared" si="13"/>
      </c>
      <c r="AL17" s="52">
        <f t="shared" si="14"/>
      </c>
      <c r="AM17" s="123">
        <f t="shared" si="15"/>
      </c>
      <c r="AN17" s="53" t="e">
        <f t="shared" si="23"/>
        <v>#DIV/0!</v>
      </c>
      <c r="AO17" s="54"/>
      <c r="AP17" s="55">
        <f t="shared" si="16"/>
      </c>
      <c r="AQ17" s="56">
        <f t="shared" si="17"/>
      </c>
      <c r="AR17" s="127">
        <f t="shared" si="18"/>
      </c>
      <c r="AS17" s="57"/>
      <c r="AT17" s="58">
        <f t="shared" si="24"/>
      </c>
      <c r="AU17" s="59">
        <f t="shared" si="25"/>
      </c>
      <c r="AV17" s="133">
        <f t="shared" si="26"/>
      </c>
      <c r="AW17" s="62">
        <f t="shared" si="19"/>
        <v>0</v>
      </c>
      <c r="AY17" s="60">
        <f t="shared" si="27"/>
      </c>
      <c r="AZ17" s="61">
        <f t="shared" si="28"/>
      </c>
      <c r="BA17" s="136">
        <f t="shared" si="29"/>
      </c>
      <c r="BC17" s="65">
        <v>25</v>
      </c>
      <c r="BD17" s="38" t="s">
        <v>15</v>
      </c>
      <c r="BE17" s="39" t="s">
        <v>15</v>
      </c>
      <c r="BG17" s="139">
        <f t="shared" si="30"/>
      </c>
      <c r="BH17" s="138">
        <f t="shared" si="31"/>
      </c>
      <c r="BI17" s="140">
        <f t="shared" si="32"/>
      </c>
      <c r="BJ17" s="131">
        <f t="shared" si="20"/>
        <v>0</v>
      </c>
      <c r="BL17" s="144">
        <f t="shared" si="33"/>
      </c>
    </row>
    <row r="18" spans="1:64" ht="61.5" customHeight="1">
      <c r="A18" s="26">
        <v>6</v>
      </c>
      <c r="B18" s="86" t="s">
        <v>35</v>
      </c>
      <c r="C18" s="66">
        <v>2</v>
      </c>
      <c r="D18" s="28">
        <v>640000</v>
      </c>
      <c r="E18" s="28">
        <f>D18*0.16</f>
        <v>102400</v>
      </c>
      <c r="F18" s="96">
        <f t="shared" si="0"/>
        <v>1484800</v>
      </c>
      <c r="G18" s="29"/>
      <c r="H18" s="30"/>
      <c r="I18" s="32">
        <v>1484336</v>
      </c>
      <c r="J18" s="102"/>
      <c r="K18" s="33"/>
      <c r="L18" s="63" t="s">
        <v>14</v>
      </c>
      <c r="M18" s="64" t="s">
        <v>14</v>
      </c>
      <c r="N18" s="109" t="s">
        <v>14</v>
      </c>
      <c r="O18" s="36"/>
      <c r="P18" s="65" t="s">
        <v>15</v>
      </c>
      <c r="Q18" s="67" t="s">
        <v>14</v>
      </c>
      <c r="R18" s="39" t="s">
        <v>15</v>
      </c>
      <c r="S18" s="36"/>
      <c r="T18" s="40">
        <f t="shared" si="1"/>
      </c>
      <c r="U18" s="41">
        <f t="shared" si="2"/>
        <v>1484336</v>
      </c>
      <c r="V18" s="111">
        <f t="shared" si="3"/>
      </c>
      <c r="W18" s="36"/>
      <c r="X18" s="42">
        <f t="shared" si="4"/>
      </c>
      <c r="Y18" s="43">
        <f t="shared" si="5"/>
        <v>1484336</v>
      </c>
      <c r="Z18" s="115">
        <f t="shared" si="6"/>
      </c>
      <c r="AA18" s="44">
        <f t="shared" si="7"/>
        <v>1</v>
      </c>
      <c r="AB18" s="45">
        <f t="shared" si="21"/>
        <v>0</v>
      </c>
      <c r="AC18" s="46">
        <f t="shared" si="8"/>
        <v>1484336</v>
      </c>
      <c r="AD18" s="46">
        <f t="shared" si="9"/>
        <v>1484336</v>
      </c>
      <c r="AE18" s="47">
        <f t="shared" si="22"/>
        <v>1484336</v>
      </c>
      <c r="AF18" s="48"/>
      <c r="AG18" s="49">
        <f t="shared" si="10"/>
      </c>
      <c r="AH18" s="50">
        <f t="shared" si="11"/>
        <v>100</v>
      </c>
      <c r="AI18" s="119">
        <f t="shared" si="12"/>
      </c>
      <c r="AJ18" s="48"/>
      <c r="AK18" s="51">
        <f t="shared" si="13"/>
      </c>
      <c r="AL18" s="52">
        <f t="shared" si="14"/>
        <v>0</v>
      </c>
      <c r="AM18" s="123">
        <f t="shared" si="15"/>
      </c>
      <c r="AN18" s="53">
        <f t="shared" si="23"/>
        <v>2968.672</v>
      </c>
      <c r="AO18" s="54"/>
      <c r="AP18" s="55">
        <f t="shared" si="16"/>
      </c>
      <c r="AQ18" s="56">
        <f t="shared" si="17"/>
        <v>0</v>
      </c>
      <c r="AR18" s="127">
        <f t="shared" si="18"/>
      </c>
      <c r="AS18" s="57"/>
      <c r="AT18" s="58">
        <f t="shared" si="24"/>
      </c>
      <c r="AU18" s="59">
        <f t="shared" si="25"/>
        <v>75</v>
      </c>
      <c r="AV18" s="133">
        <f t="shared" si="26"/>
      </c>
      <c r="AW18" s="62">
        <f t="shared" si="19"/>
        <v>75</v>
      </c>
      <c r="AY18" s="60">
        <f t="shared" si="27"/>
      </c>
      <c r="AZ18" s="61">
        <f t="shared" si="28"/>
        <v>75</v>
      </c>
      <c r="BA18" s="136">
        <f t="shared" si="29"/>
      </c>
      <c r="BC18" s="65" t="s">
        <v>15</v>
      </c>
      <c r="BD18" s="38">
        <v>15</v>
      </c>
      <c r="BE18" s="39" t="s">
        <v>15</v>
      </c>
      <c r="BG18" s="139">
        <f t="shared" si="30"/>
      </c>
      <c r="BH18" s="138">
        <f t="shared" si="31"/>
        <v>90</v>
      </c>
      <c r="BI18" s="140">
        <f t="shared" si="32"/>
      </c>
      <c r="BJ18" s="131">
        <f t="shared" si="20"/>
        <v>90</v>
      </c>
      <c r="BL18" s="144" t="str">
        <f t="shared" si="33"/>
        <v>ANALYTICA</v>
      </c>
    </row>
    <row r="19" spans="1:64" ht="61.5" customHeight="1">
      <c r="A19" s="26">
        <v>7</v>
      </c>
      <c r="B19" s="86" t="s">
        <v>35</v>
      </c>
      <c r="C19" s="66">
        <v>2</v>
      </c>
      <c r="D19" s="28">
        <v>640000</v>
      </c>
      <c r="E19" s="28">
        <f>D19*0.16</f>
        <v>102400</v>
      </c>
      <c r="F19" s="96">
        <f t="shared" si="0"/>
        <v>1484800</v>
      </c>
      <c r="G19" s="29"/>
      <c r="H19" s="30"/>
      <c r="I19" s="32">
        <v>1484336</v>
      </c>
      <c r="J19" s="102"/>
      <c r="K19" s="33"/>
      <c r="L19" s="63" t="s">
        <v>14</v>
      </c>
      <c r="M19" s="64" t="s">
        <v>14</v>
      </c>
      <c r="N19" s="109" t="s">
        <v>14</v>
      </c>
      <c r="O19" s="36"/>
      <c r="P19" s="65" t="s">
        <v>15</v>
      </c>
      <c r="Q19" s="67" t="s">
        <v>14</v>
      </c>
      <c r="R19" s="39" t="s">
        <v>15</v>
      </c>
      <c r="S19" s="36"/>
      <c r="T19" s="40">
        <f t="shared" si="1"/>
      </c>
      <c r="U19" s="41">
        <f t="shared" si="2"/>
        <v>1484336</v>
      </c>
      <c r="V19" s="111">
        <f t="shared" si="3"/>
      </c>
      <c r="W19" s="36"/>
      <c r="X19" s="42">
        <f t="shared" si="4"/>
      </c>
      <c r="Y19" s="43">
        <f t="shared" si="5"/>
        <v>1484336</v>
      </c>
      <c r="Z19" s="115">
        <f t="shared" si="6"/>
      </c>
      <c r="AA19" s="44">
        <f t="shared" si="7"/>
        <v>1</v>
      </c>
      <c r="AB19" s="45">
        <f t="shared" si="21"/>
        <v>0</v>
      </c>
      <c r="AC19" s="46">
        <f t="shared" si="8"/>
        <v>1484336</v>
      </c>
      <c r="AD19" s="46">
        <f t="shared" si="9"/>
        <v>1484336</v>
      </c>
      <c r="AE19" s="47">
        <f t="shared" si="22"/>
        <v>1484336</v>
      </c>
      <c r="AF19" s="48"/>
      <c r="AG19" s="49">
        <f t="shared" si="10"/>
      </c>
      <c r="AH19" s="50">
        <f t="shared" si="11"/>
        <v>100</v>
      </c>
      <c r="AI19" s="119">
        <f t="shared" si="12"/>
      </c>
      <c r="AJ19" s="48"/>
      <c r="AK19" s="51">
        <f t="shared" si="13"/>
      </c>
      <c r="AL19" s="52">
        <f t="shared" si="14"/>
        <v>0</v>
      </c>
      <c r="AM19" s="123">
        <f t="shared" si="15"/>
      </c>
      <c r="AN19" s="53">
        <f t="shared" si="23"/>
        <v>2968.672</v>
      </c>
      <c r="AO19" s="54"/>
      <c r="AP19" s="55">
        <f t="shared" si="16"/>
      </c>
      <c r="AQ19" s="56">
        <f t="shared" si="17"/>
        <v>0</v>
      </c>
      <c r="AR19" s="127">
        <f t="shared" si="18"/>
      </c>
      <c r="AS19" s="57"/>
      <c r="AT19" s="58">
        <f t="shared" si="24"/>
      </c>
      <c r="AU19" s="59">
        <f t="shared" si="25"/>
        <v>75</v>
      </c>
      <c r="AV19" s="133">
        <f t="shared" si="26"/>
      </c>
      <c r="AW19" s="62">
        <f t="shared" si="19"/>
        <v>75</v>
      </c>
      <c r="AY19" s="60">
        <f t="shared" si="27"/>
      </c>
      <c r="AZ19" s="61">
        <f t="shared" si="28"/>
        <v>75</v>
      </c>
      <c r="BA19" s="136">
        <f t="shared" si="29"/>
      </c>
      <c r="BC19" s="65" t="s">
        <v>15</v>
      </c>
      <c r="BD19" s="38">
        <v>15</v>
      </c>
      <c r="BE19" s="39" t="s">
        <v>15</v>
      </c>
      <c r="BG19" s="139">
        <f t="shared" si="30"/>
      </c>
      <c r="BH19" s="138">
        <f t="shared" si="31"/>
        <v>90</v>
      </c>
      <c r="BI19" s="140">
        <f t="shared" si="32"/>
      </c>
      <c r="BJ19" s="131">
        <f t="shared" si="20"/>
        <v>90</v>
      </c>
      <c r="BL19" s="144" t="str">
        <f t="shared" si="33"/>
        <v>ANALYTICA</v>
      </c>
    </row>
    <row r="20" spans="1:64" ht="61.5" customHeight="1">
      <c r="A20" s="26">
        <v>8</v>
      </c>
      <c r="B20" s="86" t="s">
        <v>36</v>
      </c>
      <c r="C20" s="38">
        <v>1</v>
      </c>
      <c r="D20" s="68">
        <v>480000</v>
      </c>
      <c r="E20" s="68">
        <f>+D20*16%</f>
        <v>76800</v>
      </c>
      <c r="F20" s="97">
        <f>(E20+D20)*C20</f>
        <v>556800</v>
      </c>
      <c r="G20" s="29"/>
      <c r="H20" s="30"/>
      <c r="I20" s="31"/>
      <c r="J20" s="102"/>
      <c r="K20" s="33"/>
      <c r="L20" s="63" t="s">
        <v>14</v>
      </c>
      <c r="M20" s="64" t="s">
        <v>14</v>
      </c>
      <c r="N20" s="109" t="s">
        <v>14</v>
      </c>
      <c r="P20" s="65" t="s">
        <v>15</v>
      </c>
      <c r="Q20" s="38" t="s">
        <v>15</v>
      </c>
      <c r="R20" s="39" t="s">
        <v>15</v>
      </c>
      <c r="T20" s="40">
        <f t="shared" si="1"/>
      </c>
      <c r="U20" s="41">
        <f t="shared" si="2"/>
      </c>
      <c r="V20" s="111">
        <f t="shared" si="3"/>
      </c>
      <c r="X20" s="42">
        <f t="shared" si="4"/>
      </c>
      <c r="Y20" s="43">
        <f t="shared" si="5"/>
      </c>
      <c r="Z20" s="115">
        <f t="shared" si="6"/>
      </c>
      <c r="AA20" s="44">
        <f t="shared" si="7"/>
        <v>0</v>
      </c>
      <c r="AB20" s="45">
        <f t="shared" si="21"/>
        <v>0</v>
      </c>
      <c r="AC20" s="46">
        <f t="shared" si="8"/>
        <v>0</v>
      </c>
      <c r="AD20" s="46">
        <f t="shared" si="9"/>
        <v>0</v>
      </c>
      <c r="AE20" s="47" t="e">
        <f t="shared" si="22"/>
        <v>#DIV/0!</v>
      </c>
      <c r="AG20" s="49">
        <f t="shared" si="10"/>
      </c>
      <c r="AH20" s="50">
        <f t="shared" si="11"/>
      </c>
      <c r="AI20" s="119">
        <f t="shared" si="12"/>
      </c>
      <c r="AK20" s="51">
        <f t="shared" si="13"/>
      </c>
      <c r="AL20" s="52">
        <f t="shared" si="14"/>
      </c>
      <c r="AM20" s="123">
        <f t="shared" si="15"/>
      </c>
      <c r="AN20" s="53" t="e">
        <f t="shared" si="23"/>
        <v>#DIV/0!</v>
      </c>
      <c r="AP20" s="55">
        <f t="shared" si="16"/>
      </c>
      <c r="AQ20" s="56">
        <f t="shared" si="17"/>
      </c>
      <c r="AR20" s="127">
        <f t="shared" si="18"/>
      </c>
      <c r="AT20" s="58">
        <f t="shared" si="24"/>
      </c>
      <c r="AU20" s="59">
        <f t="shared" si="25"/>
      </c>
      <c r="AV20" s="133">
        <f t="shared" si="26"/>
      </c>
      <c r="AW20" s="62">
        <f t="shared" si="19"/>
        <v>0</v>
      </c>
      <c r="AY20" s="60">
        <f t="shared" si="27"/>
      </c>
      <c r="AZ20" s="61">
        <f t="shared" si="28"/>
      </c>
      <c r="BA20" s="136">
        <f t="shared" si="29"/>
      </c>
      <c r="BC20" s="65" t="s">
        <v>15</v>
      </c>
      <c r="BD20" s="38" t="s">
        <v>15</v>
      </c>
      <c r="BE20" s="39" t="s">
        <v>15</v>
      </c>
      <c r="BG20" s="139">
        <f t="shared" si="30"/>
      </c>
      <c r="BH20" s="138">
        <f t="shared" si="31"/>
      </c>
      <c r="BI20" s="140">
        <f t="shared" si="32"/>
      </c>
      <c r="BJ20" s="131">
        <f t="shared" si="20"/>
        <v>0</v>
      </c>
      <c r="BL20" s="144">
        <f t="shared" si="33"/>
      </c>
    </row>
    <row r="21" spans="1:64" ht="61.5" customHeight="1">
      <c r="A21" s="26">
        <v>9</v>
      </c>
      <c r="B21" s="86" t="s">
        <v>36</v>
      </c>
      <c r="C21" s="38">
        <v>1</v>
      </c>
      <c r="D21" s="68">
        <v>580000</v>
      </c>
      <c r="E21" s="68">
        <f>+D21*16%</f>
        <v>92800</v>
      </c>
      <c r="F21" s="97">
        <f>(E21+D21)*C21</f>
        <v>672800</v>
      </c>
      <c r="G21" s="29"/>
      <c r="H21" s="30"/>
      <c r="I21" s="32"/>
      <c r="J21" s="102"/>
      <c r="K21" s="33"/>
      <c r="L21" s="63" t="s">
        <v>14</v>
      </c>
      <c r="M21" s="64" t="s">
        <v>14</v>
      </c>
      <c r="N21" s="109" t="s">
        <v>14</v>
      </c>
      <c r="P21" s="65" t="s">
        <v>15</v>
      </c>
      <c r="Q21" s="38" t="s">
        <v>15</v>
      </c>
      <c r="R21" s="39" t="s">
        <v>15</v>
      </c>
      <c r="T21" s="40">
        <f t="shared" si="1"/>
      </c>
      <c r="U21" s="41">
        <f t="shared" si="2"/>
      </c>
      <c r="V21" s="111">
        <f t="shared" si="3"/>
      </c>
      <c r="X21" s="42">
        <f t="shared" si="4"/>
      </c>
      <c r="Y21" s="43">
        <f t="shared" si="5"/>
      </c>
      <c r="Z21" s="115">
        <f t="shared" si="6"/>
      </c>
      <c r="AA21" s="44">
        <f t="shared" si="7"/>
        <v>0</v>
      </c>
      <c r="AB21" s="45">
        <f t="shared" si="21"/>
        <v>0</v>
      </c>
      <c r="AC21" s="46">
        <f t="shared" si="8"/>
        <v>0</v>
      </c>
      <c r="AD21" s="46">
        <f t="shared" si="9"/>
        <v>0</v>
      </c>
      <c r="AE21" s="47" t="e">
        <f t="shared" si="22"/>
        <v>#DIV/0!</v>
      </c>
      <c r="AG21" s="49">
        <f t="shared" si="10"/>
      </c>
      <c r="AH21" s="50">
        <f t="shared" si="11"/>
      </c>
      <c r="AI21" s="119">
        <f t="shared" si="12"/>
      </c>
      <c r="AK21" s="51">
        <f t="shared" si="13"/>
      </c>
      <c r="AL21" s="52">
        <f t="shared" si="14"/>
      </c>
      <c r="AM21" s="123">
        <f t="shared" si="15"/>
      </c>
      <c r="AN21" s="53" t="e">
        <f t="shared" si="23"/>
        <v>#DIV/0!</v>
      </c>
      <c r="AP21" s="55">
        <f t="shared" si="16"/>
      </c>
      <c r="AQ21" s="56">
        <f t="shared" si="17"/>
      </c>
      <c r="AR21" s="127">
        <f t="shared" si="18"/>
      </c>
      <c r="AT21" s="58">
        <f t="shared" si="24"/>
      </c>
      <c r="AU21" s="59">
        <f t="shared" si="25"/>
      </c>
      <c r="AV21" s="133">
        <f t="shared" si="26"/>
      </c>
      <c r="AW21" s="62">
        <f t="shared" si="19"/>
        <v>0</v>
      </c>
      <c r="AY21" s="60">
        <f t="shared" si="27"/>
      </c>
      <c r="AZ21" s="61">
        <f t="shared" si="28"/>
      </c>
      <c r="BA21" s="136">
        <f t="shared" si="29"/>
      </c>
      <c r="BC21" s="65" t="s">
        <v>15</v>
      </c>
      <c r="BD21" s="38" t="s">
        <v>15</v>
      </c>
      <c r="BE21" s="39" t="s">
        <v>15</v>
      </c>
      <c r="BG21" s="139">
        <f t="shared" si="30"/>
      </c>
      <c r="BH21" s="138">
        <f t="shared" si="31"/>
      </c>
      <c r="BI21" s="140">
        <f t="shared" si="32"/>
      </c>
      <c r="BJ21" s="131">
        <f t="shared" si="20"/>
        <v>0</v>
      </c>
      <c r="BL21" s="144">
        <f t="shared" si="33"/>
      </c>
    </row>
    <row r="22" spans="1:64" ht="61.5" customHeight="1">
      <c r="A22" s="26">
        <v>10</v>
      </c>
      <c r="B22" s="86" t="s">
        <v>37</v>
      </c>
      <c r="C22" s="27">
        <v>6</v>
      </c>
      <c r="D22" s="68">
        <v>787500</v>
      </c>
      <c r="E22" s="68">
        <f aca="true" t="shared" si="34" ref="E22:E29">D22*0.16</f>
        <v>126000</v>
      </c>
      <c r="F22" s="97">
        <f aca="true" t="shared" si="35" ref="F22:F30">(E22+D22)*C22</f>
        <v>5481000</v>
      </c>
      <c r="G22" s="29"/>
      <c r="H22" s="30"/>
      <c r="I22" s="32"/>
      <c r="J22" s="102"/>
      <c r="K22" s="33"/>
      <c r="L22" s="63" t="s">
        <v>14</v>
      </c>
      <c r="M22" s="64" t="s">
        <v>14</v>
      </c>
      <c r="N22" s="109" t="s">
        <v>14</v>
      </c>
      <c r="P22" s="65" t="s">
        <v>15</v>
      </c>
      <c r="Q22" s="38" t="s">
        <v>15</v>
      </c>
      <c r="R22" s="39" t="s">
        <v>15</v>
      </c>
      <c r="T22" s="40">
        <f t="shared" si="1"/>
      </c>
      <c r="U22" s="41">
        <f t="shared" si="2"/>
      </c>
      <c r="V22" s="111">
        <f t="shared" si="3"/>
      </c>
      <c r="X22" s="42">
        <f t="shared" si="4"/>
      </c>
      <c r="Y22" s="43">
        <f t="shared" si="5"/>
      </c>
      <c r="Z22" s="115">
        <f t="shared" si="6"/>
      </c>
      <c r="AA22" s="44">
        <f t="shared" si="7"/>
        <v>0</v>
      </c>
      <c r="AB22" s="45">
        <f t="shared" si="21"/>
        <v>0</v>
      </c>
      <c r="AC22" s="46">
        <f t="shared" si="8"/>
        <v>0</v>
      </c>
      <c r="AD22" s="46">
        <f t="shared" si="9"/>
        <v>0</v>
      </c>
      <c r="AE22" s="47" t="e">
        <f t="shared" si="22"/>
        <v>#DIV/0!</v>
      </c>
      <c r="AG22" s="49">
        <f t="shared" si="10"/>
      </c>
      <c r="AH22" s="50">
        <f t="shared" si="11"/>
      </c>
      <c r="AI22" s="119">
        <f t="shared" si="12"/>
      </c>
      <c r="AK22" s="51">
        <f t="shared" si="13"/>
      </c>
      <c r="AL22" s="52">
        <f t="shared" si="14"/>
      </c>
      <c r="AM22" s="123">
        <f t="shared" si="15"/>
      </c>
      <c r="AN22" s="53" t="e">
        <f t="shared" si="23"/>
        <v>#DIV/0!</v>
      </c>
      <c r="AP22" s="55">
        <f t="shared" si="16"/>
      </c>
      <c r="AQ22" s="56">
        <f t="shared" si="17"/>
      </c>
      <c r="AR22" s="127">
        <f t="shared" si="18"/>
      </c>
      <c r="AT22" s="58">
        <f t="shared" si="24"/>
      </c>
      <c r="AU22" s="59">
        <f t="shared" si="25"/>
      </c>
      <c r="AV22" s="133">
        <f t="shared" si="26"/>
      </c>
      <c r="AW22" s="62">
        <f t="shared" si="19"/>
        <v>0</v>
      </c>
      <c r="AY22" s="60">
        <f t="shared" si="27"/>
      </c>
      <c r="AZ22" s="61">
        <f t="shared" si="28"/>
      </c>
      <c r="BA22" s="136">
        <f t="shared" si="29"/>
      </c>
      <c r="BC22" s="65" t="s">
        <v>15</v>
      </c>
      <c r="BD22" s="38" t="s">
        <v>15</v>
      </c>
      <c r="BE22" s="39" t="s">
        <v>15</v>
      </c>
      <c r="BG22" s="139">
        <f t="shared" si="30"/>
      </c>
      <c r="BH22" s="138">
        <f t="shared" si="31"/>
      </c>
      <c r="BI22" s="140">
        <f t="shared" si="32"/>
      </c>
      <c r="BJ22" s="131">
        <f t="shared" si="20"/>
        <v>0</v>
      </c>
      <c r="BL22" s="144">
        <f t="shared" si="33"/>
      </c>
    </row>
    <row r="23" spans="1:64" ht="61.5" customHeight="1">
      <c r="A23" s="26">
        <v>11</v>
      </c>
      <c r="B23" s="86" t="s">
        <v>38</v>
      </c>
      <c r="C23" s="27">
        <v>6</v>
      </c>
      <c r="D23" s="68">
        <v>270000</v>
      </c>
      <c r="E23" s="68">
        <f t="shared" si="34"/>
        <v>43200</v>
      </c>
      <c r="F23" s="97">
        <f t="shared" si="35"/>
        <v>1879200</v>
      </c>
      <c r="G23" s="29"/>
      <c r="H23" s="30"/>
      <c r="I23" s="32"/>
      <c r="J23" s="103"/>
      <c r="K23" s="33"/>
      <c r="L23" s="63" t="s">
        <v>14</v>
      </c>
      <c r="M23" s="64" t="s">
        <v>14</v>
      </c>
      <c r="N23" s="109" t="s">
        <v>14</v>
      </c>
      <c r="P23" s="65" t="s">
        <v>15</v>
      </c>
      <c r="Q23" s="38" t="s">
        <v>15</v>
      </c>
      <c r="R23" s="39" t="s">
        <v>15</v>
      </c>
      <c r="T23" s="40">
        <f t="shared" si="1"/>
      </c>
      <c r="U23" s="41">
        <f t="shared" si="2"/>
      </c>
      <c r="V23" s="111">
        <f t="shared" si="3"/>
      </c>
      <c r="X23" s="42">
        <f t="shared" si="4"/>
      </c>
      <c r="Y23" s="43">
        <f t="shared" si="5"/>
      </c>
      <c r="Z23" s="115">
        <f t="shared" si="6"/>
      </c>
      <c r="AA23" s="44">
        <f t="shared" si="7"/>
        <v>0</v>
      </c>
      <c r="AB23" s="45">
        <f t="shared" si="21"/>
        <v>0</v>
      </c>
      <c r="AC23" s="46">
        <f t="shared" si="8"/>
        <v>0</v>
      </c>
      <c r="AD23" s="46">
        <f t="shared" si="9"/>
        <v>0</v>
      </c>
      <c r="AE23" s="47" t="e">
        <f t="shared" si="22"/>
        <v>#DIV/0!</v>
      </c>
      <c r="AG23" s="49">
        <f t="shared" si="10"/>
      </c>
      <c r="AH23" s="50">
        <f t="shared" si="11"/>
      </c>
      <c r="AI23" s="119">
        <f t="shared" si="12"/>
      </c>
      <c r="AK23" s="51">
        <f t="shared" si="13"/>
      </c>
      <c r="AL23" s="52">
        <f t="shared" si="14"/>
      </c>
      <c r="AM23" s="123">
        <f t="shared" si="15"/>
      </c>
      <c r="AN23" s="53" t="e">
        <f t="shared" si="23"/>
        <v>#DIV/0!</v>
      </c>
      <c r="AP23" s="55">
        <f t="shared" si="16"/>
      </c>
      <c r="AQ23" s="56">
        <f t="shared" si="17"/>
      </c>
      <c r="AR23" s="127">
        <f t="shared" si="18"/>
      </c>
      <c r="AT23" s="58">
        <f t="shared" si="24"/>
      </c>
      <c r="AU23" s="59">
        <f t="shared" si="25"/>
      </c>
      <c r="AV23" s="133">
        <f t="shared" si="26"/>
      </c>
      <c r="AW23" s="62">
        <f t="shared" si="19"/>
        <v>0</v>
      </c>
      <c r="AY23" s="60">
        <f t="shared" si="27"/>
      </c>
      <c r="AZ23" s="61">
        <f t="shared" si="28"/>
      </c>
      <c r="BA23" s="136">
        <f t="shared" si="29"/>
      </c>
      <c r="BC23" s="65" t="s">
        <v>15</v>
      </c>
      <c r="BD23" s="38" t="s">
        <v>15</v>
      </c>
      <c r="BE23" s="39" t="s">
        <v>15</v>
      </c>
      <c r="BG23" s="139">
        <f t="shared" si="30"/>
      </c>
      <c r="BH23" s="138">
        <f t="shared" si="31"/>
      </c>
      <c r="BI23" s="140">
        <f t="shared" si="32"/>
      </c>
      <c r="BJ23" s="131">
        <f t="shared" si="20"/>
        <v>0</v>
      </c>
      <c r="BL23" s="144">
        <f t="shared" si="33"/>
      </c>
    </row>
    <row r="24" spans="1:64" ht="61.5" customHeight="1">
      <c r="A24" s="26">
        <v>12</v>
      </c>
      <c r="B24" s="86" t="s">
        <v>39</v>
      </c>
      <c r="C24" s="27">
        <v>4</v>
      </c>
      <c r="D24" s="68">
        <v>450000</v>
      </c>
      <c r="E24" s="68">
        <f t="shared" si="34"/>
        <v>72000</v>
      </c>
      <c r="F24" s="97">
        <f t="shared" si="35"/>
        <v>2088000</v>
      </c>
      <c r="G24" s="29"/>
      <c r="H24" s="30"/>
      <c r="I24" s="32"/>
      <c r="J24" s="102"/>
      <c r="K24" s="33"/>
      <c r="L24" s="63" t="s">
        <v>14</v>
      </c>
      <c r="M24" s="64" t="s">
        <v>14</v>
      </c>
      <c r="N24" s="109" t="s">
        <v>14</v>
      </c>
      <c r="P24" s="65" t="s">
        <v>15</v>
      </c>
      <c r="Q24" s="38" t="s">
        <v>15</v>
      </c>
      <c r="R24" s="39" t="s">
        <v>15</v>
      </c>
      <c r="T24" s="40">
        <f t="shared" si="1"/>
      </c>
      <c r="U24" s="41">
        <f t="shared" si="2"/>
      </c>
      <c r="V24" s="111">
        <f t="shared" si="3"/>
      </c>
      <c r="X24" s="42">
        <f t="shared" si="4"/>
      </c>
      <c r="Y24" s="43">
        <f t="shared" si="5"/>
      </c>
      <c r="Z24" s="115">
        <f t="shared" si="6"/>
      </c>
      <c r="AA24" s="44">
        <f t="shared" si="7"/>
        <v>0</v>
      </c>
      <c r="AB24" s="45">
        <f t="shared" si="21"/>
        <v>0</v>
      </c>
      <c r="AC24" s="46">
        <f t="shared" si="8"/>
        <v>0</v>
      </c>
      <c r="AD24" s="46">
        <f t="shared" si="9"/>
        <v>0</v>
      </c>
      <c r="AE24" s="47" t="e">
        <f t="shared" si="22"/>
        <v>#DIV/0!</v>
      </c>
      <c r="AG24" s="49">
        <f t="shared" si="10"/>
      </c>
      <c r="AH24" s="50">
        <f t="shared" si="11"/>
      </c>
      <c r="AI24" s="119">
        <f t="shared" si="12"/>
      </c>
      <c r="AK24" s="51">
        <f t="shared" si="13"/>
      </c>
      <c r="AL24" s="52">
        <f t="shared" si="14"/>
      </c>
      <c r="AM24" s="123">
        <f t="shared" si="15"/>
      </c>
      <c r="AN24" s="53" t="e">
        <f t="shared" si="23"/>
        <v>#DIV/0!</v>
      </c>
      <c r="AP24" s="55">
        <f t="shared" si="16"/>
      </c>
      <c r="AQ24" s="56">
        <f t="shared" si="17"/>
      </c>
      <c r="AR24" s="127">
        <f t="shared" si="18"/>
      </c>
      <c r="AT24" s="58">
        <f t="shared" si="24"/>
      </c>
      <c r="AU24" s="59">
        <f t="shared" si="25"/>
      </c>
      <c r="AV24" s="133">
        <f t="shared" si="26"/>
      </c>
      <c r="AW24" s="62">
        <f t="shared" si="19"/>
        <v>0</v>
      </c>
      <c r="AY24" s="60">
        <f t="shared" si="27"/>
      </c>
      <c r="AZ24" s="61">
        <f t="shared" si="28"/>
      </c>
      <c r="BA24" s="136">
        <f t="shared" si="29"/>
      </c>
      <c r="BC24" s="65" t="s">
        <v>15</v>
      </c>
      <c r="BD24" s="38" t="s">
        <v>15</v>
      </c>
      <c r="BE24" s="39" t="s">
        <v>15</v>
      </c>
      <c r="BG24" s="139">
        <f t="shared" si="30"/>
      </c>
      <c r="BH24" s="138">
        <f t="shared" si="31"/>
      </c>
      <c r="BI24" s="140">
        <f t="shared" si="32"/>
      </c>
      <c r="BJ24" s="131">
        <f t="shared" si="20"/>
        <v>0</v>
      </c>
      <c r="BL24" s="144">
        <f t="shared" si="33"/>
      </c>
    </row>
    <row r="25" spans="1:64" ht="61.5" customHeight="1">
      <c r="A25" s="26">
        <v>13</v>
      </c>
      <c r="B25" s="86" t="s">
        <v>40</v>
      </c>
      <c r="C25" s="27">
        <v>2</v>
      </c>
      <c r="D25" s="68">
        <v>1843600</v>
      </c>
      <c r="E25" s="68">
        <f t="shared" si="34"/>
        <v>294976</v>
      </c>
      <c r="F25" s="97">
        <f t="shared" si="35"/>
        <v>4277152</v>
      </c>
      <c r="G25" s="29"/>
      <c r="H25" s="30"/>
      <c r="I25" s="31">
        <f>6999904-I19-I18</f>
        <v>4031232</v>
      </c>
      <c r="J25" s="102">
        <v>3856534</v>
      </c>
      <c r="K25" s="33"/>
      <c r="L25" s="63" t="s">
        <v>14</v>
      </c>
      <c r="M25" s="64" t="s">
        <v>14</v>
      </c>
      <c r="N25" s="109" t="s">
        <v>14</v>
      </c>
      <c r="P25" s="65" t="s">
        <v>15</v>
      </c>
      <c r="Q25" s="67" t="s">
        <v>50</v>
      </c>
      <c r="R25" s="69" t="s">
        <v>14</v>
      </c>
      <c r="T25" s="40">
        <f t="shared" si="1"/>
      </c>
      <c r="U25" s="41">
        <f t="shared" si="3"/>
      </c>
      <c r="V25" s="145">
        <f t="shared" si="3"/>
        <v>3856534</v>
      </c>
      <c r="X25" s="42">
        <f t="shared" si="4"/>
      </c>
      <c r="Y25" s="43">
        <f t="shared" si="5"/>
      </c>
      <c r="Z25" s="115">
        <f t="shared" si="6"/>
        <v>3856534</v>
      </c>
      <c r="AA25" s="44">
        <f t="shared" si="7"/>
        <v>1</v>
      </c>
      <c r="AB25" s="45">
        <f t="shared" si="21"/>
        <v>0</v>
      </c>
      <c r="AC25" s="46">
        <f t="shared" si="8"/>
        <v>3856534</v>
      </c>
      <c r="AD25" s="46">
        <f t="shared" si="9"/>
        <v>3856534</v>
      </c>
      <c r="AE25" s="47">
        <f t="shared" si="22"/>
        <v>3856534</v>
      </c>
      <c r="AG25" s="49">
        <f t="shared" si="10"/>
      </c>
      <c r="AH25" s="50">
        <f t="shared" si="11"/>
      </c>
      <c r="AI25" s="119">
        <f t="shared" si="12"/>
        <v>100</v>
      </c>
      <c r="AK25" s="51">
        <f t="shared" si="13"/>
      </c>
      <c r="AL25" s="52">
        <f t="shared" si="14"/>
      </c>
      <c r="AM25" s="123">
        <f t="shared" si="15"/>
        <v>0</v>
      </c>
      <c r="AN25" s="53">
        <f t="shared" si="23"/>
        <v>7713.067999999999</v>
      </c>
      <c r="AP25" s="55">
        <f t="shared" si="16"/>
      </c>
      <c r="AQ25" s="56">
        <f t="shared" si="17"/>
      </c>
      <c r="AR25" s="127">
        <f t="shared" si="18"/>
        <v>0</v>
      </c>
      <c r="AT25" s="58">
        <f t="shared" si="24"/>
      </c>
      <c r="AU25" s="59">
        <f t="shared" si="25"/>
      </c>
      <c r="AV25" s="133">
        <f t="shared" si="26"/>
        <v>75</v>
      </c>
      <c r="AW25" s="62">
        <f t="shared" si="19"/>
        <v>75</v>
      </c>
      <c r="AY25" s="60">
        <f t="shared" si="27"/>
      </c>
      <c r="AZ25" s="61">
        <f t="shared" si="28"/>
      </c>
      <c r="BA25" s="136">
        <f t="shared" si="29"/>
        <v>75</v>
      </c>
      <c r="BC25" s="65" t="s">
        <v>15</v>
      </c>
      <c r="BD25" s="38">
        <v>15</v>
      </c>
      <c r="BE25" s="39">
        <v>25</v>
      </c>
      <c r="BG25" s="139">
        <f t="shared" si="30"/>
      </c>
      <c r="BH25" s="138">
        <f t="shared" si="31"/>
      </c>
      <c r="BI25" s="140">
        <f t="shared" si="32"/>
        <v>100</v>
      </c>
      <c r="BJ25" s="131">
        <f t="shared" si="20"/>
        <v>100</v>
      </c>
      <c r="BL25" s="144" t="str">
        <f t="shared" si="33"/>
        <v>SEI</v>
      </c>
    </row>
    <row r="26" spans="1:64" ht="61.5" customHeight="1">
      <c r="A26" s="26">
        <v>14</v>
      </c>
      <c r="B26" s="86" t="s">
        <v>41</v>
      </c>
      <c r="C26" s="27">
        <v>20</v>
      </c>
      <c r="D26" s="68">
        <v>53760</v>
      </c>
      <c r="E26" s="68">
        <f t="shared" si="34"/>
        <v>8601.6</v>
      </c>
      <c r="F26" s="97">
        <f t="shared" si="35"/>
        <v>1247232</v>
      </c>
      <c r="G26" s="29"/>
      <c r="H26" s="30"/>
      <c r="I26" s="32"/>
      <c r="J26" s="103"/>
      <c r="K26" s="33"/>
      <c r="L26" s="63" t="s">
        <v>14</v>
      </c>
      <c r="M26" s="64" t="s">
        <v>14</v>
      </c>
      <c r="N26" s="109" t="s">
        <v>14</v>
      </c>
      <c r="P26" s="65" t="s">
        <v>15</v>
      </c>
      <c r="Q26" s="38" t="s">
        <v>15</v>
      </c>
      <c r="R26" s="39" t="s">
        <v>15</v>
      </c>
      <c r="T26" s="40">
        <f t="shared" si="1"/>
      </c>
      <c r="U26" s="41">
        <f t="shared" si="2"/>
      </c>
      <c r="V26" s="111">
        <f t="shared" si="3"/>
      </c>
      <c r="X26" s="42">
        <f t="shared" si="4"/>
      </c>
      <c r="Y26" s="43">
        <f t="shared" si="5"/>
      </c>
      <c r="Z26" s="115">
        <f t="shared" si="6"/>
      </c>
      <c r="AA26" s="44">
        <f t="shared" si="7"/>
        <v>0</v>
      </c>
      <c r="AB26" s="45">
        <f t="shared" si="21"/>
        <v>0</v>
      </c>
      <c r="AC26" s="46">
        <f t="shared" si="8"/>
        <v>0</v>
      </c>
      <c r="AD26" s="46">
        <f t="shared" si="9"/>
        <v>0</v>
      </c>
      <c r="AE26" s="47" t="e">
        <f t="shared" si="22"/>
        <v>#DIV/0!</v>
      </c>
      <c r="AG26" s="49">
        <f t="shared" si="10"/>
      </c>
      <c r="AH26" s="50">
        <f t="shared" si="11"/>
      </c>
      <c r="AI26" s="119">
        <f t="shared" si="12"/>
      </c>
      <c r="AK26" s="51">
        <f t="shared" si="13"/>
      </c>
      <c r="AL26" s="52">
        <f t="shared" si="14"/>
      </c>
      <c r="AM26" s="123">
        <f t="shared" si="15"/>
      </c>
      <c r="AN26" s="53" t="e">
        <f t="shared" si="23"/>
        <v>#DIV/0!</v>
      </c>
      <c r="AP26" s="55">
        <f t="shared" si="16"/>
      </c>
      <c r="AQ26" s="56">
        <f t="shared" si="17"/>
      </c>
      <c r="AR26" s="127">
        <f t="shared" si="18"/>
      </c>
      <c r="AT26" s="58">
        <f t="shared" si="24"/>
      </c>
      <c r="AU26" s="59">
        <f t="shared" si="25"/>
      </c>
      <c r="AV26" s="133">
        <f t="shared" si="26"/>
      </c>
      <c r="AW26" s="62">
        <f t="shared" si="19"/>
        <v>0</v>
      </c>
      <c r="AY26" s="60">
        <f t="shared" si="27"/>
      </c>
      <c r="AZ26" s="61">
        <f t="shared" si="28"/>
      </c>
      <c r="BA26" s="136">
        <f t="shared" si="29"/>
      </c>
      <c r="BC26" s="65" t="s">
        <v>15</v>
      </c>
      <c r="BD26" s="38" t="s">
        <v>15</v>
      </c>
      <c r="BE26" s="39" t="s">
        <v>15</v>
      </c>
      <c r="BG26" s="139">
        <f t="shared" si="30"/>
      </c>
      <c r="BH26" s="138">
        <f t="shared" si="31"/>
      </c>
      <c r="BI26" s="140">
        <f t="shared" si="32"/>
      </c>
      <c r="BJ26" s="131">
        <f t="shared" si="20"/>
        <v>0</v>
      </c>
      <c r="BL26" s="144">
        <f t="shared" si="33"/>
      </c>
    </row>
    <row r="27" spans="1:64" ht="61.5" customHeight="1">
      <c r="A27" s="26">
        <v>15</v>
      </c>
      <c r="B27" s="86" t="s">
        <v>42</v>
      </c>
      <c r="C27" s="27">
        <v>8</v>
      </c>
      <c r="D27" s="68">
        <v>180000</v>
      </c>
      <c r="E27" s="68">
        <f t="shared" si="34"/>
        <v>28800</v>
      </c>
      <c r="F27" s="97">
        <f t="shared" si="35"/>
        <v>1670400</v>
      </c>
      <c r="G27" s="29"/>
      <c r="H27" s="30"/>
      <c r="I27" s="32"/>
      <c r="J27" s="103"/>
      <c r="K27" s="33"/>
      <c r="L27" s="63" t="s">
        <v>14</v>
      </c>
      <c r="M27" s="64" t="s">
        <v>14</v>
      </c>
      <c r="N27" s="109" t="s">
        <v>14</v>
      </c>
      <c r="P27" s="65" t="s">
        <v>15</v>
      </c>
      <c r="Q27" s="38" t="s">
        <v>15</v>
      </c>
      <c r="R27" s="39" t="s">
        <v>15</v>
      </c>
      <c r="T27" s="40">
        <f t="shared" si="1"/>
      </c>
      <c r="U27" s="41">
        <f t="shared" si="2"/>
      </c>
      <c r="V27" s="111">
        <f t="shared" si="3"/>
      </c>
      <c r="X27" s="42">
        <f t="shared" si="4"/>
      </c>
      <c r="Y27" s="43">
        <f t="shared" si="5"/>
      </c>
      <c r="Z27" s="115">
        <f t="shared" si="6"/>
      </c>
      <c r="AA27" s="44">
        <f t="shared" si="7"/>
        <v>0</v>
      </c>
      <c r="AB27" s="45">
        <f>IF(AA27=2,1,IF(AA27=3,2,IF(AA27=4,2,IF(AA27=5,3,IF(AA27=6,3,IF(AA27=7,4,IF(AA27=8,4,IF(AA27&gt;8,5,))))))))</f>
        <v>0</v>
      </c>
      <c r="AC27" s="46">
        <f t="shared" si="8"/>
        <v>0</v>
      </c>
      <c r="AD27" s="46">
        <f t="shared" si="9"/>
        <v>0</v>
      </c>
      <c r="AE27" s="47" t="e">
        <f>+AD27/(AA27+AB27)</f>
        <v>#DIV/0!</v>
      </c>
      <c r="AG27" s="49">
        <f t="shared" si="10"/>
      </c>
      <c r="AH27" s="50">
        <f t="shared" si="11"/>
      </c>
      <c r="AI27" s="119">
        <f t="shared" si="12"/>
      </c>
      <c r="AK27" s="51">
        <f t="shared" si="13"/>
      </c>
      <c r="AL27" s="52">
        <f t="shared" si="14"/>
      </c>
      <c r="AM27" s="123">
        <f t="shared" si="15"/>
      </c>
      <c r="AN27" s="53" t="e">
        <f t="shared" si="23"/>
        <v>#DIV/0!</v>
      </c>
      <c r="AP27" s="55">
        <f t="shared" si="16"/>
      </c>
      <c r="AQ27" s="56">
        <f t="shared" si="17"/>
      </c>
      <c r="AR27" s="127">
        <f t="shared" si="18"/>
      </c>
      <c r="AT27" s="58">
        <f t="shared" si="24"/>
      </c>
      <c r="AU27" s="59">
        <f t="shared" si="25"/>
      </c>
      <c r="AV27" s="133">
        <f t="shared" si="26"/>
      </c>
      <c r="AW27" s="62">
        <f t="shared" si="19"/>
        <v>0</v>
      </c>
      <c r="AY27" s="60">
        <f t="shared" si="27"/>
      </c>
      <c r="AZ27" s="61">
        <f t="shared" si="28"/>
      </c>
      <c r="BA27" s="136">
        <f t="shared" si="29"/>
      </c>
      <c r="BC27" s="65" t="s">
        <v>15</v>
      </c>
      <c r="BD27" s="38" t="s">
        <v>15</v>
      </c>
      <c r="BE27" s="39" t="s">
        <v>15</v>
      </c>
      <c r="BG27" s="139">
        <f t="shared" si="30"/>
      </c>
      <c r="BH27" s="138">
        <f t="shared" si="31"/>
      </c>
      <c r="BI27" s="140">
        <f t="shared" si="32"/>
      </c>
      <c r="BJ27" s="131">
        <f t="shared" si="20"/>
        <v>0</v>
      </c>
      <c r="BL27" s="144">
        <f t="shared" si="33"/>
      </c>
    </row>
    <row r="28" spans="1:64" ht="61.5" customHeight="1">
      <c r="A28" s="26">
        <v>16</v>
      </c>
      <c r="B28" s="86" t="s">
        <v>43</v>
      </c>
      <c r="C28" s="27">
        <v>6</v>
      </c>
      <c r="D28" s="68">
        <v>550000</v>
      </c>
      <c r="E28" s="68">
        <f t="shared" si="34"/>
        <v>88000</v>
      </c>
      <c r="F28" s="97">
        <f t="shared" si="35"/>
        <v>3828000</v>
      </c>
      <c r="G28" s="29"/>
      <c r="H28" s="30"/>
      <c r="I28" s="32"/>
      <c r="J28" s="103"/>
      <c r="K28" s="33"/>
      <c r="L28" s="63" t="s">
        <v>14</v>
      </c>
      <c r="M28" s="64" t="s">
        <v>14</v>
      </c>
      <c r="N28" s="109" t="s">
        <v>14</v>
      </c>
      <c r="P28" s="65" t="s">
        <v>15</v>
      </c>
      <c r="Q28" s="38" t="s">
        <v>15</v>
      </c>
      <c r="R28" s="39" t="s">
        <v>15</v>
      </c>
      <c r="T28" s="40">
        <f t="shared" si="1"/>
      </c>
      <c r="U28" s="41">
        <f t="shared" si="2"/>
      </c>
      <c r="V28" s="111">
        <f t="shared" si="3"/>
      </c>
      <c r="X28" s="42">
        <f t="shared" si="4"/>
      </c>
      <c r="Y28" s="43">
        <f t="shared" si="5"/>
      </c>
      <c r="Z28" s="115">
        <f t="shared" si="6"/>
      </c>
      <c r="AA28" s="44">
        <f t="shared" si="7"/>
        <v>0</v>
      </c>
      <c r="AB28" s="45">
        <f>IF(AA28=2,1,IF(AA28=3,2,IF(AA28=4,2,IF(AA28=5,3,IF(AA28=6,3,IF(AA28=7,4,IF(AA28=8,4,IF(AA28&gt;8,5,))))))))</f>
        <v>0</v>
      </c>
      <c r="AC28" s="46">
        <f t="shared" si="8"/>
        <v>0</v>
      </c>
      <c r="AD28" s="46">
        <f t="shared" si="9"/>
        <v>0</v>
      </c>
      <c r="AE28" s="47" t="e">
        <f>+AD28/(AA28+AB28)</f>
        <v>#DIV/0!</v>
      </c>
      <c r="AG28" s="49">
        <f t="shared" si="10"/>
      </c>
      <c r="AH28" s="50">
        <f t="shared" si="11"/>
      </c>
      <c r="AI28" s="119">
        <f t="shared" si="12"/>
      </c>
      <c r="AK28" s="51">
        <f t="shared" si="13"/>
      </c>
      <c r="AL28" s="52">
        <f t="shared" si="14"/>
      </c>
      <c r="AM28" s="123">
        <f t="shared" si="15"/>
      </c>
      <c r="AN28" s="53" t="e">
        <f t="shared" si="23"/>
        <v>#DIV/0!</v>
      </c>
      <c r="AP28" s="55">
        <f t="shared" si="16"/>
      </c>
      <c r="AQ28" s="56">
        <f t="shared" si="17"/>
      </c>
      <c r="AR28" s="127">
        <f t="shared" si="18"/>
      </c>
      <c r="AT28" s="58">
        <f t="shared" si="24"/>
      </c>
      <c r="AU28" s="59">
        <f t="shared" si="25"/>
      </c>
      <c r="AV28" s="133">
        <f t="shared" si="26"/>
      </c>
      <c r="AW28" s="62">
        <f t="shared" si="19"/>
        <v>0</v>
      </c>
      <c r="AY28" s="60">
        <f t="shared" si="27"/>
      </c>
      <c r="AZ28" s="61">
        <f t="shared" si="28"/>
      </c>
      <c r="BA28" s="136">
        <f t="shared" si="29"/>
      </c>
      <c r="BC28" s="65" t="s">
        <v>15</v>
      </c>
      <c r="BD28" s="38" t="s">
        <v>15</v>
      </c>
      <c r="BE28" s="39" t="s">
        <v>15</v>
      </c>
      <c r="BG28" s="139">
        <f t="shared" si="30"/>
      </c>
      <c r="BH28" s="138">
        <f t="shared" si="31"/>
      </c>
      <c r="BI28" s="140">
        <f t="shared" si="32"/>
      </c>
      <c r="BJ28" s="131">
        <f t="shared" si="20"/>
        <v>0</v>
      </c>
      <c r="BL28" s="144">
        <f t="shared" si="33"/>
      </c>
    </row>
    <row r="29" spans="1:64" ht="61.5" customHeight="1">
      <c r="A29" s="26">
        <v>17</v>
      </c>
      <c r="B29" s="86" t="s">
        <v>44</v>
      </c>
      <c r="C29" s="27">
        <v>6</v>
      </c>
      <c r="D29" s="68">
        <v>90000</v>
      </c>
      <c r="E29" s="68">
        <f t="shared" si="34"/>
        <v>14400</v>
      </c>
      <c r="F29" s="97">
        <f t="shared" si="35"/>
        <v>626400</v>
      </c>
      <c r="G29" s="29"/>
      <c r="H29" s="30"/>
      <c r="I29" s="32"/>
      <c r="J29" s="103"/>
      <c r="K29" s="33"/>
      <c r="L29" s="63" t="s">
        <v>14</v>
      </c>
      <c r="M29" s="64" t="s">
        <v>14</v>
      </c>
      <c r="N29" s="109" t="s">
        <v>14</v>
      </c>
      <c r="P29" s="65" t="s">
        <v>15</v>
      </c>
      <c r="Q29" s="38" t="s">
        <v>15</v>
      </c>
      <c r="R29" s="39" t="s">
        <v>15</v>
      </c>
      <c r="T29" s="40">
        <f t="shared" si="1"/>
      </c>
      <c r="U29" s="41">
        <f t="shared" si="2"/>
      </c>
      <c r="V29" s="111">
        <f t="shared" si="3"/>
      </c>
      <c r="X29" s="42">
        <f t="shared" si="4"/>
      </c>
      <c r="Y29" s="43">
        <f t="shared" si="5"/>
      </c>
      <c r="Z29" s="115">
        <f t="shared" si="6"/>
      </c>
      <c r="AA29" s="44">
        <f t="shared" si="7"/>
        <v>0</v>
      </c>
      <c r="AB29" s="45">
        <f>IF(AA29=2,1,IF(AA29=3,2,IF(AA29=4,2,IF(AA29=5,3,IF(AA29=6,3,IF(AA29=7,4,IF(AA29=8,4,IF(AA29&gt;8,5,))))))))</f>
        <v>0</v>
      </c>
      <c r="AC29" s="46">
        <f t="shared" si="8"/>
        <v>0</v>
      </c>
      <c r="AD29" s="46">
        <f t="shared" si="9"/>
        <v>0</v>
      </c>
      <c r="AE29" s="47" t="e">
        <f>+AD29/(AA29+AB29)</f>
        <v>#DIV/0!</v>
      </c>
      <c r="AG29" s="49">
        <f t="shared" si="10"/>
      </c>
      <c r="AH29" s="50">
        <f t="shared" si="11"/>
      </c>
      <c r="AI29" s="119">
        <f t="shared" si="12"/>
      </c>
      <c r="AK29" s="51">
        <f t="shared" si="13"/>
      </c>
      <c r="AL29" s="52">
        <f t="shared" si="14"/>
      </c>
      <c r="AM29" s="123">
        <f t="shared" si="15"/>
      </c>
      <c r="AN29" s="53" t="e">
        <f t="shared" si="23"/>
        <v>#DIV/0!</v>
      </c>
      <c r="AP29" s="55">
        <f t="shared" si="16"/>
      </c>
      <c r="AQ29" s="56">
        <f t="shared" si="17"/>
      </c>
      <c r="AR29" s="127">
        <f t="shared" si="18"/>
      </c>
      <c r="AT29" s="58">
        <f t="shared" si="24"/>
      </c>
      <c r="AU29" s="59">
        <f t="shared" si="25"/>
      </c>
      <c r="AV29" s="133">
        <f t="shared" si="26"/>
      </c>
      <c r="AW29" s="62">
        <f t="shared" si="19"/>
        <v>0</v>
      </c>
      <c r="AY29" s="60">
        <f t="shared" si="27"/>
      </c>
      <c r="AZ29" s="61">
        <f t="shared" si="28"/>
      </c>
      <c r="BA29" s="136">
        <f t="shared" si="29"/>
      </c>
      <c r="BC29" s="65" t="s">
        <v>15</v>
      </c>
      <c r="BD29" s="38" t="s">
        <v>15</v>
      </c>
      <c r="BE29" s="39" t="s">
        <v>15</v>
      </c>
      <c r="BG29" s="139">
        <f t="shared" si="30"/>
      </c>
      <c r="BH29" s="138">
        <f t="shared" si="31"/>
      </c>
      <c r="BI29" s="140">
        <f t="shared" si="32"/>
      </c>
      <c r="BJ29" s="131">
        <f t="shared" si="20"/>
        <v>0</v>
      </c>
      <c r="BL29" s="144">
        <f t="shared" si="33"/>
      </c>
    </row>
    <row r="30" spans="1:64" ht="61.5" customHeight="1" thickBot="1">
      <c r="A30" s="80">
        <v>18</v>
      </c>
      <c r="B30" s="98" t="s">
        <v>45</v>
      </c>
      <c r="C30" s="99">
        <v>2</v>
      </c>
      <c r="D30" s="100">
        <v>9796000</v>
      </c>
      <c r="E30" s="100">
        <f>D30*0.16</f>
        <v>1567360</v>
      </c>
      <c r="F30" s="101">
        <f t="shared" si="35"/>
        <v>22726720</v>
      </c>
      <c r="G30" s="29"/>
      <c r="H30" s="70"/>
      <c r="I30" s="71"/>
      <c r="J30" s="104"/>
      <c r="K30" s="33"/>
      <c r="L30" s="72" t="s">
        <v>14</v>
      </c>
      <c r="M30" s="73" t="s">
        <v>14</v>
      </c>
      <c r="N30" s="110" t="s">
        <v>14</v>
      </c>
      <c r="P30" s="78" t="s">
        <v>15</v>
      </c>
      <c r="Q30" s="79" t="s">
        <v>15</v>
      </c>
      <c r="R30" s="81" t="s">
        <v>15</v>
      </c>
      <c r="T30" s="112">
        <f t="shared" si="1"/>
      </c>
      <c r="U30" s="113">
        <f t="shared" si="2"/>
      </c>
      <c r="V30" s="114">
        <f t="shared" si="3"/>
      </c>
      <c r="X30" s="116">
        <f t="shared" si="4"/>
      </c>
      <c r="Y30" s="117">
        <f t="shared" si="5"/>
      </c>
      <c r="Z30" s="118">
        <f t="shared" si="6"/>
      </c>
      <c r="AA30" s="44">
        <f t="shared" si="7"/>
        <v>0</v>
      </c>
      <c r="AB30" s="45">
        <f>IF(AA30=2,1,IF(AA30=3,2,IF(AA30=4,2,IF(AA30=5,3,IF(AA30=6,3,IF(AA30=7,4,IF(AA30=8,4,IF(AA30&gt;8,5,))))))))</f>
        <v>0</v>
      </c>
      <c r="AC30" s="46">
        <f t="shared" si="8"/>
        <v>0</v>
      </c>
      <c r="AD30" s="46">
        <f t="shared" si="9"/>
        <v>0</v>
      </c>
      <c r="AE30" s="47" t="e">
        <f>+AD30/(AA30+AB30)</f>
        <v>#DIV/0!</v>
      </c>
      <c r="AG30" s="120">
        <f t="shared" si="10"/>
      </c>
      <c r="AH30" s="121">
        <f t="shared" si="11"/>
      </c>
      <c r="AI30" s="122">
        <f t="shared" si="12"/>
      </c>
      <c r="AK30" s="124">
        <f t="shared" si="13"/>
      </c>
      <c r="AL30" s="125">
        <f t="shared" si="14"/>
      </c>
      <c r="AM30" s="126">
        <f t="shared" si="15"/>
      </c>
      <c r="AN30" s="53" t="e">
        <f t="shared" si="23"/>
        <v>#DIV/0!</v>
      </c>
      <c r="AP30" s="128">
        <f t="shared" si="16"/>
      </c>
      <c r="AQ30" s="129">
        <f t="shared" si="17"/>
      </c>
      <c r="AR30" s="130">
        <f t="shared" si="18"/>
      </c>
      <c r="AT30" s="74">
        <f t="shared" si="24"/>
      </c>
      <c r="AU30" s="75">
        <f t="shared" si="25"/>
      </c>
      <c r="AV30" s="134">
        <f t="shared" si="26"/>
      </c>
      <c r="AW30" s="135">
        <f t="shared" si="19"/>
        <v>0</v>
      </c>
      <c r="AY30" s="76">
        <f t="shared" si="27"/>
      </c>
      <c r="AZ30" s="77">
        <f t="shared" si="28"/>
      </c>
      <c r="BA30" s="137">
        <f t="shared" si="29"/>
      </c>
      <c r="BC30" s="78" t="s">
        <v>15</v>
      </c>
      <c r="BD30" s="79" t="s">
        <v>15</v>
      </c>
      <c r="BE30" s="81" t="s">
        <v>15</v>
      </c>
      <c r="BG30" s="141">
        <f t="shared" si="30"/>
      </c>
      <c r="BH30" s="142">
        <f t="shared" si="31"/>
      </c>
      <c r="BI30" s="143">
        <f t="shared" si="32"/>
      </c>
      <c r="BJ30" s="131">
        <f t="shared" si="20"/>
        <v>0</v>
      </c>
      <c r="BL30" s="144">
        <f t="shared" si="33"/>
      </c>
    </row>
    <row r="31" spans="1:10" ht="10.5">
      <c r="A31" s="3"/>
      <c r="B31" s="4"/>
      <c r="C31" s="3"/>
      <c r="D31" s="82"/>
      <c r="E31" s="82"/>
      <c r="F31" s="83"/>
      <c r="G31" s="82"/>
      <c r="H31" s="82"/>
      <c r="I31" s="82"/>
      <c r="J31" s="82"/>
    </row>
    <row r="32" spans="1:10" ht="10.5">
      <c r="A32" s="3"/>
      <c r="B32" s="4"/>
      <c r="C32" s="3"/>
      <c r="D32" s="82"/>
      <c r="E32" s="82"/>
      <c r="F32" s="82"/>
      <c r="G32" s="82"/>
      <c r="H32" s="82"/>
      <c r="I32" s="82"/>
      <c r="J32" s="82"/>
    </row>
    <row r="33" spans="4:10" ht="10.5">
      <c r="D33" s="84"/>
      <c r="E33" s="84"/>
      <c r="F33" s="84"/>
      <c r="G33" s="82"/>
      <c r="H33" s="85"/>
      <c r="I33" s="85"/>
      <c r="J33" s="85"/>
    </row>
    <row r="34" spans="4:10" ht="10.5">
      <c r="D34" s="84"/>
      <c r="E34" s="84"/>
      <c r="F34" s="84"/>
      <c r="G34" s="82"/>
      <c r="H34" s="85"/>
      <c r="I34" s="85"/>
      <c r="J34" s="85"/>
    </row>
    <row r="35" spans="4:10" ht="10.5">
      <c r="D35" s="84"/>
      <c r="E35" s="84"/>
      <c r="F35" s="84"/>
      <c r="G35" s="82"/>
      <c r="H35" s="85"/>
      <c r="I35" s="85"/>
      <c r="J35" s="85"/>
    </row>
    <row r="36" spans="4:10" ht="10.5">
      <c r="D36" s="84"/>
      <c r="E36" s="84"/>
      <c r="F36" s="84"/>
      <c r="G36" s="82"/>
      <c r="H36" s="85"/>
      <c r="I36" s="85"/>
      <c r="J36" s="85"/>
    </row>
    <row r="37" spans="4:10" ht="10.5">
      <c r="D37" s="84"/>
      <c r="E37" s="84"/>
      <c r="F37" s="84"/>
      <c r="G37" s="82"/>
      <c r="H37" s="85"/>
      <c r="I37" s="85"/>
      <c r="J37" s="85"/>
    </row>
    <row r="38" spans="4:10" ht="10.5">
      <c r="D38" s="84"/>
      <c r="E38" s="84"/>
      <c r="F38" s="84"/>
      <c r="G38" s="82"/>
      <c r="H38" s="85"/>
      <c r="I38" s="85"/>
      <c r="J38" s="85"/>
    </row>
  </sheetData>
  <sheetProtection selectLockedCells="1"/>
  <protectedRanges>
    <protectedRange password="F16F" sqref="C1:C12 B1:B9 B11:B12 A1:A12 A31:C65536" name="Rango1"/>
    <protectedRange password="F16F" sqref="B27:B30 A13:A30" name="Rango1_1"/>
    <protectedRange password="F16F" sqref="B13" name="Rango1_1_1_1_1"/>
  </protectedRanges>
  <autoFilter ref="A12:BM26"/>
  <mergeCells count="19">
    <mergeCell ref="A7:BL7"/>
    <mergeCell ref="A8:BL8"/>
    <mergeCell ref="A9:BL9"/>
    <mergeCell ref="X11:Z11"/>
    <mergeCell ref="H11:J11"/>
    <mergeCell ref="L11:N11"/>
    <mergeCell ref="P11:R11"/>
    <mergeCell ref="T11:V11"/>
    <mergeCell ref="AT11:AV11"/>
    <mergeCell ref="AK11:AM11"/>
    <mergeCell ref="AN11:AN12"/>
    <mergeCell ref="AP11:AR11"/>
    <mergeCell ref="AG11:AI11"/>
    <mergeCell ref="BL11:BL12"/>
    <mergeCell ref="BC11:BE11"/>
    <mergeCell ref="BG11:BI11"/>
    <mergeCell ref="AW11:AW12"/>
    <mergeCell ref="BJ11:BJ12"/>
    <mergeCell ref="AY11:BA11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CoordinacionLab</dc:creator>
  <cp:keywords/>
  <dc:description/>
  <cp:lastModifiedBy>pvicerrec1</cp:lastModifiedBy>
  <cp:lastPrinted>2009-10-13T13:24:48Z</cp:lastPrinted>
  <dcterms:created xsi:type="dcterms:W3CDTF">2009-09-07T20:32:02Z</dcterms:created>
  <dcterms:modified xsi:type="dcterms:W3CDTF">2010-11-22T13:33:37Z</dcterms:modified>
  <cp:category/>
  <cp:version/>
  <cp:contentType/>
  <cp:contentStatus/>
</cp:coreProperties>
</file>