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1" windowWidth="9630" windowHeight="3960" tabRatio="747" activeTab="1"/>
  </bookViews>
  <sheets>
    <sheet name="Exp. como consultor" sheetId="1" r:id="rId1"/>
    <sheet name="Exp. como constructor" sheetId="2" r:id="rId2"/>
    <sheet name="Exp. General del personal" sheetId="3" r:id="rId3"/>
    <sheet name="Exp. Especifica del personal" sheetId="4" r:id="rId4"/>
    <sheet name="Profesionales Califcables " sheetId="5" r:id="rId5"/>
    <sheet name="CALIFICACION TECNICA" sheetId="6" r:id="rId6"/>
  </sheets>
  <definedNames/>
  <calcPr calcMode="manual" fullCalcOnLoad="1" iterate="1" iterateCount="100" iterateDelta="0.001"/>
</workbook>
</file>

<file path=xl/comments3.xml><?xml version="1.0" encoding="utf-8"?>
<comments xmlns="http://schemas.openxmlformats.org/spreadsheetml/2006/main">
  <authors>
    <author>C&amp;C</author>
  </authors>
  <commentList>
    <comment ref="B1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 O ING. CIVIL</t>
        </r>
      </text>
    </comment>
    <comment ref="J34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42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</t>
        </r>
      </text>
    </comment>
    <comment ref="J6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68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INGENIERO CIVIL</t>
        </r>
      </text>
    </comment>
    <comment ref="J89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</commentList>
</comments>
</file>

<file path=xl/comments4.xml><?xml version="1.0" encoding="utf-8"?>
<comments xmlns="http://schemas.openxmlformats.org/spreadsheetml/2006/main">
  <authors>
    <author>C&amp;C</author>
  </authors>
  <commentList>
    <comment ref="J21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60 MESES COMO DIRECTOR DE OBRAS DE EDIFICACIONES</t>
        </r>
      </text>
    </comment>
    <comment ref="J3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 DE EXPERIENCIA ESPECÍFICA CERTIFICADA EN RESIDENCIA O DIRECCIÓN DE OBRAS DE EDIFICACIONES</t>
        </r>
      </text>
    </comment>
    <comment ref="K5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MESES DE EXPERIENCIA ESPECÍFICA CERTIFICADA EN RESIDENCIA O DIRECCIÓN DE OBRAS DE EDIFICACIONES
</t>
        </r>
      </text>
    </comment>
  </commentList>
</comments>
</file>

<file path=xl/comments5.xml><?xml version="1.0" encoding="utf-8"?>
<comments xmlns="http://schemas.openxmlformats.org/spreadsheetml/2006/main">
  <authors>
    <author>C&amp;C</author>
  </authors>
  <commentList>
    <comment ref="D4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  <comment ref="D5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</commentList>
</comments>
</file>

<file path=xl/sharedStrings.xml><?xml version="1.0" encoding="utf-8"?>
<sst xmlns="http://schemas.openxmlformats.org/spreadsheetml/2006/main" count="447" uniqueCount="149">
  <si>
    <t>P. Natural Nacional</t>
  </si>
  <si>
    <t>No Cumple</t>
  </si>
  <si>
    <t>Consorcio</t>
  </si>
  <si>
    <t>Unión Temporal</t>
  </si>
  <si>
    <t>UNIVERSIDAD DISTRITAL</t>
  </si>
  <si>
    <t>FRANCISCO JOSÉ DE CALDAS</t>
  </si>
  <si>
    <t>Cumple</t>
  </si>
  <si>
    <t>INFORME DE EVALUACIÓN TÉCNICA</t>
  </si>
  <si>
    <t xml:space="preserve"> </t>
  </si>
  <si>
    <t>Valor Estimado Contrato</t>
  </si>
  <si>
    <t>Valor Referencial</t>
  </si>
  <si>
    <t>Forma Asociación:</t>
  </si>
  <si>
    <t>Integrantes:</t>
  </si>
  <si>
    <t>P.Jurídica Nacional Privada</t>
  </si>
  <si>
    <t>P.Jurídica Nacional Mixta</t>
  </si>
  <si>
    <t>Promesa de Sociedad Futura</t>
  </si>
  <si>
    <t>P.Jurídica Nacional Pública</t>
  </si>
  <si>
    <t>P. Jurídica Extranjera</t>
  </si>
  <si>
    <t>P. Natural Extranjera</t>
  </si>
  <si>
    <t>Integrante que Aporta Experiencia</t>
  </si>
  <si>
    <t>% Part Contrato que acredita</t>
  </si>
  <si>
    <t>% Part Miembro Proponente</t>
  </si>
  <si>
    <t>Fecha Inicio</t>
  </si>
  <si>
    <t>Fecha Final</t>
  </si>
  <si>
    <t>Valor del Contrato con adicionales</t>
  </si>
  <si>
    <t>El cien por ciento (100%) de la experiencia total requerida en estos Términos debe haberse ejecutado en territorio colombiano.</t>
  </si>
  <si>
    <t>Experiencia como Constructor</t>
  </si>
  <si>
    <t>PROFESIONAL</t>
  </si>
  <si>
    <t>EXPERDIENCIA GENERAL</t>
  </si>
  <si>
    <t>CUMPLE-NO CUMPLE</t>
  </si>
  <si>
    <t>PROFESIONAL ESPECIALISTA EN ESTRUCTURAS</t>
  </si>
  <si>
    <t>TOTAL</t>
  </si>
  <si>
    <t>REQUISITOS MINIMOS HABILITANTES</t>
  </si>
  <si>
    <t>No. DE ORDEN</t>
  </si>
  <si>
    <t>ENTIDAD CONTRATANTE</t>
  </si>
  <si>
    <t>Porcentaje de dedicación al proyecto (medido sobre 100%)</t>
  </si>
  <si>
    <t>CARGO DESEMPEÑADO</t>
  </si>
  <si>
    <t>DURACION DEL PROYECTO EN MESES PROPORCIONAL</t>
  </si>
  <si>
    <t>VALIDAS SI/NO</t>
  </si>
  <si>
    <t>INICIA 
(mes - año)</t>
  </si>
  <si>
    <t>TERMINA  
(mes - año)</t>
  </si>
  <si>
    <t>SI</t>
  </si>
  <si>
    <t>SUBTOTAL</t>
  </si>
  <si>
    <t>PREGRADO</t>
  </si>
  <si>
    <t>No. DE</t>
  </si>
  <si>
    <t>TíTULO</t>
  </si>
  <si>
    <t>FECHA DE GRADO</t>
  </si>
  <si>
    <r>
      <t xml:space="preserve">DOCUMENTO PROFESIONAL </t>
    </r>
    <r>
      <rPr>
        <b/>
        <vertAlign val="superscript"/>
        <sz val="10"/>
        <rFont val="Arial Narrow"/>
        <family val="2"/>
      </rPr>
      <t>(1)</t>
    </r>
  </si>
  <si>
    <t xml:space="preserve"> VALE  SI/NO</t>
  </si>
  <si>
    <t>OBTENIDO</t>
  </si>
  <si>
    <t>(mes - año)</t>
  </si>
  <si>
    <t>No.</t>
  </si>
  <si>
    <t>Fecha</t>
  </si>
  <si>
    <t>TRASLAPOS</t>
  </si>
  <si>
    <t>DURACIÓN (ORGANIZADOS EN ORDEN CRONOLOGICO)</t>
  </si>
  <si>
    <t>PROYECTO O TRABAJO</t>
  </si>
  <si>
    <t xml:space="preserve">RAZÓN SOCIAL </t>
  </si>
  <si>
    <t>CONTRATO 1:</t>
  </si>
  <si>
    <t> El cien por ciento (100%) de la experiencia total requerida en estos Términos debe haberse ejecutado en territorio colombiano.</t>
  </si>
  <si>
    <t>DIRECTOR DE OBRA</t>
  </si>
  <si>
    <t>ARQUITECTO RESIDENTE DE RESTAURACION</t>
  </si>
  <si>
    <t>EXPERDIENCIA ESPECIFICA</t>
  </si>
  <si>
    <t>PUNTAJE</t>
  </si>
  <si>
    <t xml:space="preserve">No de FOLIO. </t>
  </si>
  <si>
    <t>Cumple</t>
  </si>
  <si>
    <t>Director de Obra</t>
  </si>
  <si>
    <t>ARQUITECTO</t>
  </si>
  <si>
    <t>DIRECTOR</t>
  </si>
  <si>
    <t>ORDEN SEGÚN ANEXO 9</t>
  </si>
  <si>
    <t>CONTRATANTE</t>
  </si>
  <si>
    <t>OBJETO DE LA CONVOCATORIA: “CONTRATAR LA REALIZACIÓN REFORZAMIENTO ESTRUCTURAL Y MEJORAMIENTO INTEGRAL DE LA SEDE “A” DE LA MACARENA.”"</t>
  </si>
  <si>
    <t>CONVOCATORIA PÚBLICA No. 002 de 2010</t>
  </si>
  <si>
    <t>27.600 smlmv</t>
  </si>
  <si>
    <r>
      <rPr>
        <sz val="11"/>
        <rFont val="Verdana"/>
        <family val="2"/>
      </rPr>
      <t xml:space="preserve">El proponente deberá acreditar experiencia en ejecución de proyectos de </t>
    </r>
    <r>
      <rPr>
        <b/>
        <sz val="12"/>
        <rFont val="Verdana"/>
        <family val="2"/>
      </rPr>
      <t>remodelación en edificios de tipo Institucional,</t>
    </r>
    <r>
      <rPr>
        <sz val="11"/>
        <rFont val="Verdana"/>
        <family val="2"/>
      </rPr>
      <t xml:space="preserve"> en donde se incluyan como  mínimo la ejecución de las siguientes actividades:</t>
    </r>
    <r>
      <rPr>
        <b/>
        <sz val="12"/>
        <rFont val="Verdana"/>
        <family val="2"/>
      </rPr>
      <t xml:space="preserve"> Instalaciones hidráulicas, sanitarias, eléctricas, redes de voz y datos e instalación de acabados:</t>
    </r>
  </si>
  <si>
    <t xml:space="preserve"> La experiencia que se acredite deberá haberse obtenido desde el primero de enero del año 1998.</t>
  </si>
  <si>
    <r>
      <t xml:space="preserve">Se deberá acreditar en máximo dos </t>
    </r>
    <r>
      <rPr>
        <b/>
        <sz val="12"/>
        <rFont val="Verdana"/>
        <family val="2"/>
      </rPr>
      <t>(2) proyectos ejecutados,</t>
    </r>
    <r>
      <rPr>
        <sz val="11"/>
        <rFont val="Verdana"/>
        <family val="2"/>
      </rPr>
      <t xml:space="preserve"> certificando las actividades mencionadas en el presente literal, </t>
    </r>
    <r>
      <rPr>
        <b/>
        <sz val="12"/>
        <rFont val="Verdana"/>
        <family val="2"/>
      </rPr>
      <t>cuya sumatoria en área sea igual o mayor a 10.000 M2.</t>
    </r>
  </si>
  <si>
    <r>
      <t>El proponente deberá acreditar experiencia en</t>
    </r>
    <r>
      <rPr>
        <b/>
        <sz val="11"/>
        <rFont val="Verdana"/>
        <family val="2"/>
      </rPr>
      <t xml:space="preserve"> </t>
    </r>
    <r>
      <rPr>
        <b/>
        <sz val="12"/>
        <rFont val="Verdana"/>
        <family val="2"/>
      </rPr>
      <t>proyectos que hayan incluido Reforzamiento Estructural, realizados en concreto reforzado, de edificios de tipo Institucional de más de 3 pisos.”</t>
    </r>
  </si>
  <si>
    <t xml:space="preserve"> La experiencia que se acredite deberá haberse obtenido, desde el primero de enero de 1998. </t>
  </si>
  <si>
    <r>
      <t xml:space="preserve">Los proyectos que se aporten por el Proponente para acreditar la experiencia de que trata este numeral, deberán estar </t>
    </r>
    <r>
      <rPr>
        <b/>
        <sz val="11"/>
        <rFont val="Verdana"/>
        <family val="2"/>
      </rPr>
      <t>terminados y recibidos a satisfacción de la Entidad Contratante</t>
    </r>
    <r>
      <rPr>
        <sz val="11"/>
        <rFont val="Verdana"/>
        <family val="2"/>
      </rPr>
      <t xml:space="preserve">. Para proyectos cuyo objeto consista en la realización de diseños y construcción, se deberá especificar en la misma, el porcentaje de diseño y de construcción, respectivamente, con el fin de validar la experiencia solicitada. 
</t>
    </r>
    <r>
      <rPr>
        <b/>
        <sz val="11"/>
        <rFont val="Verdana"/>
        <family val="2"/>
      </rPr>
      <t>NOTA. Para efectos de la presente Convocatoria las edificaciones de tipo  institucional corresponden a: edificaciones educativas, hospitalarias, carcelarias, culturales, religiosas y servicios de administración pública.</t>
    </r>
    <r>
      <rPr>
        <sz val="11"/>
        <rFont val="Verdana"/>
        <family val="2"/>
      </rPr>
      <t xml:space="preserve">
</t>
    </r>
  </si>
  <si>
    <t xml:space="preserve">Proponente 1: </t>
  </si>
  <si>
    <t>Unión Temporal</t>
  </si>
  <si>
    <t xml:space="preserve"> La experiencia que se acredite deberá haberse obtenido desde el primero de enero del año 2000.</t>
  </si>
  <si>
    <r>
      <t xml:space="preserve">La edificación de la cual se realizó el diseño deberá corresponder a un </t>
    </r>
    <r>
      <rPr>
        <b/>
        <sz val="11"/>
        <rFont val="Verdana"/>
        <family val="2"/>
      </rPr>
      <t>área bajo cubierta mínima de 10.000m2</t>
    </r>
  </si>
  <si>
    <t>El ciento por ciento (100%) de la experiencia total requerida en estos Términos debe haberse ejecutado en territorio colombiano.</t>
  </si>
  <si>
    <t>Experiencia como Consultor</t>
  </si>
  <si>
    <r>
      <t xml:space="preserve">El proponente deberá acreditar su experiencia como consultor adjuntando </t>
    </r>
    <r>
      <rPr>
        <b/>
        <sz val="11"/>
        <rFont val="Verdana"/>
        <family val="2"/>
      </rPr>
      <t>máximo un (1) proyecto</t>
    </r>
    <r>
      <rPr>
        <sz val="11"/>
        <rFont val="Verdana"/>
        <family val="2"/>
      </rPr>
      <t xml:space="preserve"> que incluya en su </t>
    </r>
    <r>
      <rPr>
        <b/>
        <sz val="11"/>
        <rFont val="Verdana"/>
        <family val="2"/>
      </rPr>
      <t>alcance, diseño arquitectónico, el cálculo y diseño de instalaciones eléctricas e instalaciones hidrosanitarias en edificaciones de tipo institucional, voz y datos</t>
    </r>
  </si>
  <si>
    <t xml:space="preserve">Para proyectos cuyo objeto consista en la realización de diseños y construcción, se deberá especificar en la misma, el porcentaje de diseño y de construcción,  respectivamente, con el fin de validar la experiencia solicitada.
</t>
  </si>
  <si>
    <t>FOLIO</t>
  </si>
  <si>
    <t>No. DE FOLIO</t>
  </si>
  <si>
    <t xml:space="preserve">Arquitecto residente </t>
  </si>
  <si>
    <t xml:space="preserve">Ingeniero Civil residente </t>
  </si>
  <si>
    <t>Como experiencia general de los profesionales se entienden los meses de ejercicio profesional debidamente acreditados y/o certificados por cada uno de los profesionales, desde la fecha de expedición de la matrícula o tarjeta profesional, hasta la fecha de cierre de la presente Convocatoria.</t>
  </si>
  <si>
    <t>Las certificaciones de experiencia general de los profesionales deben ser expedidas por la persona natural o jurídica con quien se haya establecido la relación laboral o de prestación de servicios. Estas certificaciones deberán determinar: el cargo desempeñado y el tiempo durante el cual, el profesional, ejerció dicho cargo o participó en el proyecto (indicando las fechas de iniciación y de terminación. Formato: día/mes/año).</t>
  </si>
  <si>
    <t>Las certificaciones de experiencia específica de los profesionales deben ser expedidas por la persona natural o jurídica con quien se haya establecido la relación laboral o de prestación de servicios. Estas certificaciones deberán determinar: el objeto del proyecto, el cargo desempeñado, el metraje del proyecto y el tiempo durante el cual, el profesional, ejerció dicho cargo o participó en el proyecto (indicando las fechas de iniciación y de terminación. Formato: día/mes/año).</t>
  </si>
  <si>
    <t>TIEMPO VALIDO</t>
  </si>
  <si>
    <t xml:space="preserve">Proponente : </t>
  </si>
  <si>
    <t xml:space="preserve">PUNTAJE POR EXPERIENCIA ESPECIFICA </t>
  </si>
  <si>
    <t>Para efectos de la calificación del personal profesional por experiencia específica, el puntaje se otorgará de forma proporcional a las fracciones de tiempo de experiencia específica efectivamente acreditadas, cuando sea el caso.</t>
  </si>
  <si>
    <t>AREA CUBIERTA DEL PROYECTO</t>
  </si>
  <si>
    <t>PROYECTOS CON AREAS SUPERIORES A 10000 M2</t>
  </si>
  <si>
    <t>PUNTAJE POR EXPERIENCIA EN AREA DE PROYECTOS</t>
  </si>
  <si>
    <t>N° DE PROYECTOS MAYORES O IGUALES A 10000M2</t>
  </si>
  <si>
    <t xml:space="preserve">ARQUITECTO RESIDENTE </t>
  </si>
  <si>
    <t>N° DE PROYECTOS MAYORES O IGUALES A 5000M2</t>
  </si>
  <si>
    <t>PROYECTOS CON AREAS SUPERIORES A 5000 M2</t>
  </si>
  <si>
    <t>REQUISITO HABILITANTE</t>
  </si>
  <si>
    <t>VALIDACION DE LA EXPERIENCIA MEDIANTE FIGURAS DE ASOCIACION Y/O PROPONENTES PLURALES</t>
  </si>
  <si>
    <t>EVALUACION COMO CONSULTOR</t>
  </si>
  <si>
    <t>ARQUITECTO RESIDENTE</t>
  </si>
  <si>
    <t>INGENEIERO RESIDENTE</t>
  </si>
  <si>
    <t>FACTOR DE ESCOGENCIA</t>
  </si>
  <si>
    <t>PERSONAL PROFESIONAL CALIFICABLE</t>
  </si>
  <si>
    <t>EVALUACION/CALIFICACION ELEGIBLE / NO ELEGIBLE</t>
  </si>
  <si>
    <t>EXPERDIENCIA ESPECIFICA                                                 CUMPLE/NO CUMPLE</t>
  </si>
  <si>
    <t>Se deberá acreditar en un (1) proyecto de diseño terminado y recibido a satisfacción de la Entidad Contratante, certificando las actividades  mencionadas en el presente literal.</t>
  </si>
  <si>
    <t>AREA M2</t>
  </si>
  <si>
    <t>EXPERIENCIA 1:</t>
  </si>
  <si>
    <t>EXPERIENCIA 2</t>
  </si>
  <si>
    <t>SUMATORIA</t>
  </si>
  <si>
    <t>ING. CIVIL</t>
  </si>
  <si>
    <t>RESIDENTE DE ESTRUCTURA</t>
  </si>
  <si>
    <t>TIEMPO</t>
  </si>
  <si>
    <t>POSGRADO</t>
  </si>
  <si>
    <t>OK</t>
  </si>
  <si>
    <t>EXP. ESPECIFICA</t>
  </si>
  <si>
    <t>EXPERIENCIA COMO CONSULTOR</t>
  </si>
  <si>
    <t>EXPERIENCIA COMO CONSTRUCTOR</t>
  </si>
  <si>
    <t>CONSORCIO CANAAN-CONTEIN-AMP</t>
  </si>
  <si>
    <t>Consorcio</t>
  </si>
  <si>
    <t>CONSTRUCTORA CANNAN S.A.</t>
  </si>
  <si>
    <t>CONSTRUCCIONES TECNICAS DE INGENIERIA LTDA. - CONTEIN</t>
  </si>
  <si>
    <t>AMP MENDEZ &amp; ASOCIADOS PROYECTOS DE INGENIERIA LTDA.</t>
  </si>
  <si>
    <r>
      <t>Se deberá acreditar en un</t>
    </r>
    <r>
      <rPr>
        <b/>
        <sz val="12"/>
        <rFont val="Verdana"/>
        <family val="2"/>
      </rPr>
      <t xml:space="preserve"> (1) proyecto</t>
    </r>
    <r>
      <rPr>
        <sz val="11"/>
        <rFont val="Verdana"/>
        <family val="2"/>
      </rPr>
      <t xml:space="preserve"> ejecutado </t>
    </r>
    <r>
      <rPr>
        <b/>
        <sz val="12"/>
        <rFont val="Verdana"/>
        <family val="2"/>
      </rPr>
      <t>cuya área cubierta de intervención sea igual o mayor a 10.000 M2</t>
    </r>
    <r>
      <rPr>
        <sz val="11"/>
        <rFont val="Verdana"/>
        <family val="2"/>
      </rPr>
      <t>.</t>
    </r>
  </si>
  <si>
    <t>NOMBRE: RAFAEL DARIO PEÑA FLORES</t>
  </si>
  <si>
    <t>25205-39607CND</t>
  </si>
  <si>
    <t>ESP. EN GERENCIA DE PROYECTOS</t>
  </si>
  <si>
    <t>GERENTE DE OBRA</t>
  </si>
  <si>
    <t>NOMBRE: VICTOR RAUL RUBIO GAMBOA</t>
  </si>
  <si>
    <t>2570029136CND</t>
  </si>
  <si>
    <t>NOMBRE: GERMAN EDUARDO BOHORQUEZ</t>
  </si>
  <si>
    <t>25205-63941CND</t>
  </si>
  <si>
    <t>RESIDENTE TECNICO DE OBRA</t>
  </si>
  <si>
    <t>RESIDENTE DE ESTRUCTURAS</t>
  </si>
  <si>
    <t>RESIDENTE GENERAL</t>
  </si>
  <si>
    <t>RESIDENTE PUENTES</t>
  </si>
  <si>
    <t xml:space="preserve">RESIDENTE </t>
  </si>
  <si>
    <t>ING. CIVIL RESIDENTE</t>
  </si>
  <si>
    <t>N° DE PROYECTOS MAYORES O IGUALES A 5000M2 COMO RESIDENTE DE ESTRUCTURAS</t>
  </si>
  <si>
    <t>EXPERIENCIA GENERAL                                                       CUMPLE/NO CUMPLE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</si>
</sst>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\ &quot;SMLMV&quot;"/>
    <numFmt numFmtId="166" formatCode="&quot;$&quot;#,##0"/>
    <numFmt numFmtId="167" formatCode="&quot;$&quot;#,##0.00"/>
    <numFmt numFmtId="168" formatCode="0.0"/>
    <numFmt numFmtId="169" formatCode="[$$-240A]\ #,##0"/>
  </numFmts>
  <fonts count="57">
    <font>
      <sz val="11"/>
      <name val="Verdana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2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2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164" fontId="0" fillId="33" borderId="0" xfId="5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9" fontId="0" fillId="33" borderId="20" xfId="52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5" fontId="0" fillId="33" borderId="20" xfId="0" applyNumberFormat="1" applyFill="1" applyBorder="1" applyAlignment="1">
      <alignment horizontal="center" vertical="center" wrapText="1"/>
    </xf>
    <xf numFmtId="15" fontId="0" fillId="33" borderId="2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0" fillId="35" borderId="0" xfId="0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9" fillId="0" borderId="30" xfId="0" applyFont="1" applyBorder="1" applyAlignment="1">
      <alignment/>
    </xf>
    <xf numFmtId="17" fontId="9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43" fontId="7" fillId="37" borderId="38" xfId="46" applyFont="1" applyFill="1" applyBorder="1" applyAlignment="1">
      <alignment vertical="center"/>
    </xf>
    <xf numFmtId="43" fontId="9" fillId="37" borderId="38" xfId="46" applyFont="1" applyFill="1" applyBorder="1" applyAlignment="1">
      <alignment vertical="center"/>
    </xf>
    <xf numFmtId="43" fontId="9" fillId="37" borderId="39" xfId="46" applyFont="1" applyFill="1" applyBorder="1" applyAlignment="1">
      <alignment vertical="center"/>
    </xf>
    <xf numFmtId="164" fontId="9" fillId="0" borderId="0" xfId="5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4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46" applyNumberFormat="1" applyFont="1" applyAlignment="1">
      <alignment vertical="center"/>
    </xf>
    <xf numFmtId="43" fontId="9" fillId="0" borderId="0" xfId="46" applyFont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36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 horizontal="centerContinuous"/>
    </xf>
    <xf numFmtId="0" fontId="11" fillId="0" borderId="41" xfId="0" applyFont="1" applyBorder="1" applyAlignment="1">
      <alignment horizontal="centerContinuous"/>
    </xf>
    <xf numFmtId="0" fontId="11" fillId="0" borderId="2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5" fontId="13" fillId="0" borderId="44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9" fontId="10" fillId="0" borderId="20" xfId="52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2" fillId="35" borderId="4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9" fontId="0" fillId="33" borderId="20" xfId="0" applyNumberFormat="1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9" fillId="0" borderId="54" xfId="0" applyFont="1" applyBorder="1" applyAlignment="1">
      <alignment/>
    </xf>
    <xf numFmtId="17" fontId="9" fillId="0" borderId="54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7" fillId="0" borderId="5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168" fontId="9" fillId="37" borderId="20" xfId="0" applyNumberFormat="1" applyFont="1" applyFill="1" applyBorder="1" applyAlignment="1">
      <alignment horizontal="center"/>
    </xf>
    <xf numFmtId="168" fontId="9" fillId="0" borderId="57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0" fillId="39" borderId="50" xfId="0" applyFont="1" applyFill="1" applyBorder="1" applyAlignment="1">
      <alignment horizontal="center" vertical="center"/>
    </xf>
    <xf numFmtId="0" fontId="10" fillId="39" borderId="50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0" fillId="39" borderId="58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 wrapText="1"/>
    </xf>
    <xf numFmtId="14" fontId="10" fillId="39" borderId="42" xfId="0" applyNumberFormat="1" applyFont="1" applyFill="1" applyBorder="1" applyAlignment="1">
      <alignment horizontal="center" vertical="center"/>
    </xf>
    <xf numFmtId="0" fontId="9" fillId="39" borderId="59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 wrapText="1"/>
    </xf>
    <xf numFmtId="9" fontId="10" fillId="39" borderId="20" xfId="52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9" fontId="10" fillId="39" borderId="20" xfId="5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0" fillId="33" borderId="16" xfId="0" applyFont="1" applyFill="1" applyBorder="1" applyAlignment="1">
      <alignment/>
    </xf>
    <xf numFmtId="0" fontId="0" fillId="33" borderId="58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31" xfId="0" applyFont="1" applyFill="1" applyBorder="1" applyAlignment="1">
      <alignment vertical="top"/>
    </xf>
    <xf numFmtId="0" fontId="2" fillId="33" borderId="60" xfId="0" applyFont="1" applyFill="1" applyBorder="1" applyAlignment="1">
      <alignment vertical="top"/>
    </xf>
    <xf numFmtId="0" fontId="19" fillId="37" borderId="3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0" fontId="7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43" fontId="7" fillId="35" borderId="0" xfId="46" applyFont="1" applyFill="1" applyBorder="1" applyAlignment="1">
      <alignment vertical="center"/>
    </xf>
    <xf numFmtId="43" fontId="9" fillId="35" borderId="0" xfId="46" applyFont="1" applyFill="1" applyBorder="1" applyAlignment="1">
      <alignment vertical="center"/>
    </xf>
    <xf numFmtId="164" fontId="9" fillId="35" borderId="0" xfId="52" applyNumberFormat="1" applyFont="1" applyFill="1" applyAlignment="1">
      <alignment vertical="center"/>
    </xf>
    <xf numFmtId="43" fontId="9" fillId="35" borderId="0" xfId="46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8" fillId="0" borderId="56" xfId="0" applyFont="1" applyBorder="1" applyAlignment="1">
      <alignment/>
    </xf>
    <xf numFmtId="0" fontId="6" fillId="0" borderId="31" xfId="0" applyFont="1" applyBorder="1" applyAlignment="1">
      <alignment horizontal="justify" wrapText="1"/>
    </xf>
    <xf numFmtId="0" fontId="2" fillId="35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8" fontId="0" fillId="0" borderId="55" xfId="0" applyNumberFormat="1" applyBorder="1" applyAlignment="1">
      <alignment vertical="center"/>
    </xf>
    <xf numFmtId="0" fontId="2" fillId="33" borderId="62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top" wrapText="1"/>
    </xf>
    <xf numFmtId="0" fontId="0" fillId="0" borderId="63" xfId="0" applyBorder="1" applyAlignment="1">
      <alignment vertical="center"/>
    </xf>
    <xf numFmtId="0" fontId="0" fillId="35" borderId="44" xfId="0" applyFill="1" applyBorder="1" applyAlignment="1">
      <alignment horizontal="center" vertical="center"/>
    </xf>
    <xf numFmtId="0" fontId="21" fillId="0" borderId="56" xfId="0" applyFont="1" applyBorder="1" applyAlignment="1">
      <alignment horizontal="justify" wrapText="1"/>
    </xf>
    <xf numFmtId="0" fontId="14" fillId="35" borderId="61" xfId="0" applyFont="1" applyFill="1" applyBorder="1" applyAlignment="1">
      <alignment horizontal="center" vertical="center"/>
    </xf>
    <xf numFmtId="0" fontId="0" fillId="35" borderId="32" xfId="0" applyNumberForma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4" fillId="0" borderId="5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33" borderId="58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9" fontId="0" fillId="33" borderId="42" xfId="0" applyNumberFormat="1" applyFont="1" applyFill="1" applyBorder="1" applyAlignment="1">
      <alignment horizontal="center" vertical="center" wrapText="1"/>
    </xf>
    <xf numFmtId="15" fontId="0" fillId="33" borderId="42" xfId="0" applyNumberFormat="1" applyFill="1" applyBorder="1" applyAlignment="1">
      <alignment horizontal="center" vertical="center" wrapText="1"/>
    </xf>
    <xf numFmtId="15" fontId="0" fillId="33" borderId="42" xfId="0" applyNumberFormat="1" applyFont="1" applyFill="1" applyBorder="1" applyAlignment="1">
      <alignment horizontal="center" vertical="center" wrapText="1"/>
    </xf>
    <xf numFmtId="14" fontId="10" fillId="39" borderId="29" xfId="0" applyNumberFormat="1" applyFont="1" applyFill="1" applyBorder="1" applyAlignment="1">
      <alignment horizontal="center" vertical="center"/>
    </xf>
    <xf numFmtId="9" fontId="10" fillId="39" borderId="29" xfId="52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/>
    </xf>
    <xf numFmtId="14" fontId="10" fillId="39" borderId="20" xfId="0" applyNumberFormat="1" applyFont="1" applyFill="1" applyBorder="1" applyAlignment="1">
      <alignment horizontal="center" vertical="center"/>
    </xf>
    <xf numFmtId="168" fontId="9" fillId="39" borderId="20" xfId="0" applyNumberFormat="1" applyFont="1" applyFill="1" applyBorder="1" applyAlignment="1">
      <alignment horizontal="center"/>
    </xf>
    <xf numFmtId="14" fontId="10" fillId="39" borderId="42" xfId="0" applyNumberFormat="1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8" fontId="9" fillId="36" borderId="4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" fontId="13" fillId="0" borderId="20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2" fontId="9" fillId="0" borderId="66" xfId="0" applyNumberFormat="1" applyFont="1" applyBorder="1" applyAlignment="1">
      <alignment/>
    </xf>
    <xf numFmtId="2" fontId="9" fillId="36" borderId="44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/>
    </xf>
    <xf numFmtId="164" fontId="0" fillId="33" borderId="20" xfId="52" applyNumberFormat="1" applyFont="1" applyFill="1" applyBorder="1" applyAlignment="1">
      <alignment/>
    </xf>
    <xf numFmtId="168" fontId="9" fillId="36" borderId="34" xfId="0" applyNumberFormat="1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 vertical="center"/>
    </xf>
    <xf numFmtId="14" fontId="9" fillId="39" borderId="20" xfId="0" applyNumberFormat="1" applyFont="1" applyFill="1" applyBorder="1" applyAlignment="1">
      <alignment horizontal="center" wrapText="1"/>
    </xf>
    <xf numFmtId="9" fontId="22" fillId="39" borderId="20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/>
    </xf>
    <xf numFmtId="0" fontId="10" fillId="40" borderId="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 wrapText="1"/>
    </xf>
    <xf numFmtId="14" fontId="10" fillId="40" borderId="0" xfId="0" applyNumberFormat="1" applyFont="1" applyFill="1" applyBorder="1" applyAlignment="1">
      <alignment horizontal="center" vertical="center" wrapText="1"/>
    </xf>
    <xf numFmtId="9" fontId="10" fillId="40" borderId="20" xfId="52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 wrapText="1"/>
    </xf>
    <xf numFmtId="168" fontId="9" fillId="40" borderId="20" xfId="0" applyNumberFormat="1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0" fillId="40" borderId="20" xfId="0" applyFont="1" applyFill="1" applyBorder="1" applyAlignment="1">
      <alignment horizontal="center" vertical="center"/>
    </xf>
    <xf numFmtId="14" fontId="10" fillId="40" borderId="20" xfId="0" applyNumberFormat="1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14" fontId="9" fillId="40" borderId="20" xfId="0" applyNumberFormat="1" applyFont="1" applyFill="1" applyBorder="1" applyAlignment="1">
      <alignment horizontal="center" wrapText="1"/>
    </xf>
    <xf numFmtId="0" fontId="9" fillId="40" borderId="20" xfId="0" applyFont="1" applyFill="1" applyBorder="1" applyAlignment="1">
      <alignment horizontal="center"/>
    </xf>
    <xf numFmtId="0" fontId="9" fillId="40" borderId="51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 wrapText="1"/>
    </xf>
    <xf numFmtId="14" fontId="9" fillId="40" borderId="52" xfId="0" applyNumberFormat="1" applyFont="1" applyFill="1" applyBorder="1" applyAlignment="1">
      <alignment horizontal="center" wrapText="1"/>
    </xf>
    <xf numFmtId="14" fontId="9" fillId="40" borderId="0" xfId="0" applyNumberFormat="1" applyFont="1" applyFill="1" applyBorder="1" applyAlignment="1">
      <alignment horizontal="center" wrapText="1"/>
    </xf>
    <xf numFmtId="9" fontId="10" fillId="40" borderId="40" xfId="52" applyFont="1" applyFill="1" applyBorder="1" applyAlignment="1">
      <alignment horizontal="center" vertical="center"/>
    </xf>
    <xf numFmtId="0" fontId="9" fillId="40" borderId="52" xfId="0" applyFont="1" applyFill="1" applyBorder="1" applyAlignment="1">
      <alignment horizontal="center" vertical="center" wrapText="1"/>
    </xf>
    <xf numFmtId="168" fontId="9" fillId="40" borderId="40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168" fontId="9" fillId="0" borderId="63" xfId="0" applyNumberFormat="1" applyFont="1" applyBorder="1" applyAlignment="1">
      <alignment/>
    </xf>
    <xf numFmtId="0" fontId="9" fillId="40" borderId="17" xfId="0" applyFont="1" applyFill="1" applyBorder="1" applyAlignment="1">
      <alignment horizontal="center"/>
    </xf>
    <xf numFmtId="0" fontId="0" fillId="40" borderId="20" xfId="0" applyFill="1" applyBorder="1" applyAlignment="1">
      <alignment/>
    </xf>
    <xf numFmtId="0" fontId="10" fillId="40" borderId="42" xfId="0" applyFont="1" applyFill="1" applyBorder="1" applyAlignment="1">
      <alignment horizontal="center" vertical="center"/>
    </xf>
    <xf numFmtId="0" fontId="10" fillId="40" borderId="42" xfId="0" applyFont="1" applyFill="1" applyBorder="1" applyAlignment="1">
      <alignment horizontal="center" vertical="center" wrapText="1"/>
    </xf>
    <xf numFmtId="0" fontId="9" fillId="40" borderId="59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10" fillId="40" borderId="24" xfId="0" applyFont="1" applyFill="1" applyBorder="1" applyAlignment="1">
      <alignment horizontal="center" vertical="center"/>
    </xf>
    <xf numFmtId="14" fontId="10" fillId="40" borderId="42" xfId="0" applyNumberFormat="1" applyFont="1" applyFill="1" applyBorder="1" applyAlignment="1">
      <alignment horizontal="center" vertical="center"/>
    </xf>
    <xf numFmtId="9" fontId="10" fillId="40" borderId="20" xfId="52" applyFont="1" applyFill="1" applyBorder="1" applyAlignment="1">
      <alignment horizontal="center" vertical="center" wrapText="1"/>
    </xf>
    <xf numFmtId="0" fontId="10" fillId="40" borderId="58" xfId="0" applyFont="1" applyFill="1" applyBorder="1" applyAlignment="1">
      <alignment horizontal="center" vertical="center"/>
    </xf>
    <xf numFmtId="168" fontId="9" fillId="0" borderId="66" xfId="0" applyNumberFormat="1" applyFont="1" applyBorder="1" applyAlignment="1">
      <alignment/>
    </xf>
    <xf numFmtId="0" fontId="9" fillId="40" borderId="67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18" fillId="0" borderId="43" xfId="0" applyFont="1" applyBorder="1" applyAlignment="1">
      <alignment/>
    </xf>
    <xf numFmtId="9" fontId="22" fillId="40" borderId="20" xfId="0" applyNumberFormat="1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wrapText="1"/>
    </xf>
    <xf numFmtId="2" fontId="9" fillId="40" borderId="20" xfId="0" applyNumberFormat="1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68" xfId="0" applyFont="1" applyFill="1" applyBorder="1" applyAlignment="1">
      <alignment horizontal="center" vertical="top" wrapText="1"/>
    </xf>
    <xf numFmtId="0" fontId="0" fillId="33" borderId="69" xfId="0" applyFont="1" applyFill="1" applyBorder="1" applyAlignment="1">
      <alignment horizontal="center" vertical="top" wrapText="1"/>
    </xf>
    <xf numFmtId="0" fontId="0" fillId="33" borderId="7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left" vertical="top" wrapText="1" inden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71" xfId="0" applyFont="1" applyFill="1" applyBorder="1" applyAlignment="1">
      <alignment horizontal="left" vertical="top" wrapText="1"/>
    </xf>
    <xf numFmtId="0" fontId="2" fillId="33" borderId="62" xfId="0" applyFont="1" applyFill="1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2" fontId="2" fillId="33" borderId="43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9" fontId="0" fillId="33" borderId="20" xfId="0" applyNumberFormat="1" applyFill="1" applyBorder="1" applyAlignment="1">
      <alignment horizontal="center" vertical="center" wrapText="1"/>
    </xf>
    <xf numFmtId="167" fontId="0" fillId="33" borderId="20" xfId="0" applyNumberFormat="1" applyFont="1" applyFill="1" applyBorder="1" applyAlignment="1">
      <alignment horizontal="center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50" xfId="0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169" fontId="0" fillId="33" borderId="2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0" fillId="33" borderId="20" xfId="0" applyNumberFormat="1" applyFont="1" applyFill="1" applyBorder="1" applyAlignment="1">
      <alignment horizontal="left"/>
    </xf>
    <xf numFmtId="2" fontId="2" fillId="33" borderId="42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164" fontId="0" fillId="33" borderId="20" xfId="0" applyNumberForma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center" wrapText="1"/>
    </xf>
    <xf numFmtId="3" fontId="0" fillId="33" borderId="42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50" xfId="0" applyFont="1" applyFill="1" applyBorder="1" applyAlignment="1">
      <alignment horizontal="left" vertical="top" wrapText="1"/>
    </xf>
    <xf numFmtId="0" fontId="0" fillId="33" borderId="62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164" fontId="0" fillId="33" borderId="42" xfId="0" applyNumberFormat="1" applyFont="1" applyFill="1" applyBorder="1" applyAlignment="1">
      <alignment horizontal="center" vertical="center" wrapText="1"/>
    </xf>
    <xf numFmtId="164" fontId="0" fillId="33" borderId="42" xfId="0" applyNumberFormat="1" applyFill="1" applyBorder="1" applyAlignment="1">
      <alignment horizontal="center" vertical="center" wrapText="1"/>
    </xf>
    <xf numFmtId="167" fontId="0" fillId="33" borderId="4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56" xfId="0" applyNumberFormat="1" applyFill="1" applyBorder="1" applyAlignment="1">
      <alignment horizontal="center" vertical="center" wrapText="1"/>
    </xf>
    <xf numFmtId="0" fontId="0" fillId="33" borderId="38" xfId="0" applyNumberForma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20" fillId="35" borderId="56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76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168" fontId="0" fillId="33" borderId="54" xfId="0" applyNumberFormat="1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3" borderId="56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0" fillId="33" borderId="42" xfId="0" applyFont="1" applyFill="1" applyBorder="1" applyAlignment="1">
      <alignment horizontal="center" vertical="top" wrapText="1"/>
    </xf>
    <xf numFmtId="0" fontId="0" fillId="33" borderId="5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2" fillId="33" borderId="78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zoomScale="77" zoomScaleNormal="77" zoomScalePageLayoutView="0" workbookViewId="0" topLeftCell="A14">
      <selection activeCell="N33" sqref="N33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4.79687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73" t="s">
        <v>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  <c r="AQ1" s="10" t="s">
        <v>6</v>
      </c>
    </row>
    <row r="2" spans="2:43" ht="14.25">
      <c r="B2" s="376" t="s">
        <v>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AQ2" s="10" t="s">
        <v>1</v>
      </c>
    </row>
    <row r="3" spans="2:19" ht="14.25">
      <c r="B3" s="376" t="s">
        <v>71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</row>
    <row r="4" spans="2:19" ht="14.25">
      <c r="B4" s="379" t="s">
        <v>70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1"/>
    </row>
    <row r="5" spans="2:19" ht="14.25">
      <c r="B5" s="379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2:19" ht="14.25">
      <c r="B6" s="47" t="s">
        <v>7</v>
      </c>
      <c r="C6" s="2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2:19" ht="14.25">
      <c r="B7" s="16"/>
      <c r="C7" s="25"/>
      <c r="D7" s="45"/>
      <c r="E7" s="45"/>
      <c r="F7" s="45"/>
      <c r="G7" s="45"/>
      <c r="H7" s="45"/>
      <c r="I7" s="45"/>
      <c r="J7" s="45"/>
      <c r="K7" s="45"/>
      <c r="L7" s="45"/>
      <c r="N7" s="45"/>
      <c r="O7" s="45"/>
      <c r="P7" s="45" t="s">
        <v>8</v>
      </c>
      <c r="Q7" s="45"/>
      <c r="R7" s="45"/>
      <c r="S7" s="46"/>
    </row>
    <row r="8" spans="2:45" ht="14.25">
      <c r="B8" s="382"/>
      <c r="C8" s="383"/>
      <c r="D8" s="384" t="s">
        <v>9</v>
      </c>
      <c r="E8" s="384"/>
      <c r="F8" s="384"/>
      <c r="G8" s="384"/>
      <c r="H8" s="384" t="s">
        <v>10</v>
      </c>
      <c r="I8" s="384"/>
      <c r="J8" s="385"/>
      <c r="K8" s="45"/>
      <c r="L8" s="45"/>
      <c r="M8" s="45"/>
      <c r="N8" s="45"/>
      <c r="O8" s="45"/>
      <c r="P8" s="45" t="s">
        <v>8</v>
      </c>
      <c r="Q8" s="45"/>
      <c r="R8" s="45"/>
      <c r="S8" s="46"/>
      <c r="AQ8" s="11"/>
      <c r="AR8" s="1"/>
      <c r="AS8" s="1"/>
    </row>
    <row r="9" spans="2:45" ht="14.25">
      <c r="B9" s="364"/>
      <c r="C9" s="365"/>
      <c r="D9" s="366">
        <v>14762556290</v>
      </c>
      <c r="E9" s="366"/>
      <c r="F9" s="366"/>
      <c r="G9" s="366"/>
      <c r="H9" s="367" t="s">
        <v>72</v>
      </c>
      <c r="I9" s="368"/>
      <c r="J9" s="369"/>
      <c r="K9" s="45"/>
      <c r="L9" s="45"/>
      <c r="M9" s="45"/>
      <c r="N9" s="45"/>
      <c r="O9" s="45"/>
      <c r="P9" s="45"/>
      <c r="Q9" s="45"/>
      <c r="R9" s="45"/>
      <c r="S9" s="46"/>
      <c r="AQ9" s="11"/>
      <c r="AR9" s="1"/>
      <c r="AS9" s="1"/>
    </row>
    <row r="10" spans="2:19" ht="14.25">
      <c r="B10" s="16"/>
      <c r="C10" s="2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2:19" ht="14.25">
      <c r="B11" s="48" t="s">
        <v>95</v>
      </c>
      <c r="C11" s="18"/>
      <c r="D11" s="19"/>
      <c r="E11" s="20" t="s">
        <v>127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9"/>
    </row>
    <row r="12" spans="2:43" ht="14.25">
      <c r="B12" s="50" t="s">
        <v>11</v>
      </c>
      <c r="C12" s="18"/>
      <c r="D12" s="19"/>
      <c r="E12" s="370" t="s">
        <v>128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2"/>
      <c r="T12" s="17"/>
      <c r="AQ12" s="10" t="s">
        <v>2</v>
      </c>
    </row>
    <row r="13" spans="2:43" ht="14.25">
      <c r="B13" s="51" t="s">
        <v>12</v>
      </c>
      <c r="C13" s="22"/>
      <c r="D13" s="23">
        <v>1</v>
      </c>
      <c r="E13" s="279">
        <v>0.475</v>
      </c>
      <c r="F13" s="24" t="s">
        <v>129</v>
      </c>
      <c r="G13" s="21"/>
      <c r="H13" s="21"/>
      <c r="I13" s="21"/>
      <c r="J13" s="21"/>
      <c r="K13" s="21"/>
      <c r="L13" s="21"/>
      <c r="M13" s="21"/>
      <c r="N13" s="21"/>
      <c r="O13" s="198"/>
      <c r="P13" s="358"/>
      <c r="Q13" s="358"/>
      <c r="R13" s="358"/>
      <c r="S13" s="359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79">
        <v>0.475</v>
      </c>
      <c r="F14" s="24" t="s">
        <v>130</v>
      </c>
      <c r="G14" s="21"/>
      <c r="H14" s="21"/>
      <c r="I14" s="21"/>
      <c r="J14" s="21"/>
      <c r="K14" s="21"/>
      <c r="L14" s="21"/>
      <c r="M14" s="21"/>
      <c r="N14" s="21"/>
      <c r="O14" s="198"/>
      <c r="P14" s="358"/>
      <c r="Q14" s="358"/>
      <c r="R14" s="358"/>
      <c r="S14" s="359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79">
        <v>0.05</v>
      </c>
      <c r="F15" s="357" t="s">
        <v>131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8"/>
      <c r="Q15" s="358"/>
      <c r="R15" s="358"/>
      <c r="S15" s="359"/>
      <c r="AM15" s="10" t="s">
        <v>16</v>
      </c>
    </row>
    <row r="16" spans="2:39" ht="14.25">
      <c r="B16" s="16"/>
      <c r="C16" s="25"/>
      <c r="D16" s="26"/>
      <c r="E16" s="24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8"/>
      <c r="Q16" s="358"/>
      <c r="R16" s="358"/>
      <c r="S16" s="359"/>
      <c r="AM16" s="10" t="s">
        <v>17</v>
      </c>
    </row>
    <row r="17" spans="2:39" ht="14.25">
      <c r="B17" s="52"/>
      <c r="C17" s="27"/>
      <c r="D17" s="28"/>
      <c r="E17" s="24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8"/>
      <c r="Q17" s="358"/>
      <c r="R17" s="358"/>
      <c r="S17" s="359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84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5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100.5" customHeight="1">
      <c r="B22" s="137" t="s">
        <v>63</v>
      </c>
      <c r="C22" s="190" t="s">
        <v>19</v>
      </c>
      <c r="D22" s="191" t="s">
        <v>20</v>
      </c>
      <c r="E22" s="360" t="s">
        <v>21</v>
      </c>
      <c r="F22" s="360"/>
      <c r="G22" s="190" t="s">
        <v>22</v>
      </c>
      <c r="H22" s="191" t="s">
        <v>23</v>
      </c>
      <c r="I22" s="361" t="s">
        <v>24</v>
      </c>
      <c r="J22" s="360"/>
      <c r="K22" s="360"/>
      <c r="L22" s="361"/>
      <c r="M22" s="360"/>
      <c r="N22" s="361"/>
      <c r="O22" s="360"/>
      <c r="P22" s="360"/>
      <c r="Q22" s="362" t="s">
        <v>106</v>
      </c>
      <c r="R22" s="362"/>
      <c r="S22" s="36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146</v>
      </c>
      <c r="C23" s="30">
        <v>3</v>
      </c>
      <c r="D23" s="136">
        <v>0.5</v>
      </c>
      <c r="E23" s="349">
        <f>+E15</f>
        <v>0.05</v>
      </c>
      <c r="F23" s="350"/>
      <c r="G23" s="33">
        <v>38343</v>
      </c>
      <c r="H23" s="34">
        <v>38678</v>
      </c>
      <c r="I23" s="351">
        <v>1782180754</v>
      </c>
      <c r="J23" s="351"/>
      <c r="K23" s="351"/>
      <c r="L23" s="352"/>
      <c r="M23" s="352"/>
      <c r="N23" s="353"/>
      <c r="O23" s="354"/>
      <c r="P23" s="354"/>
      <c r="Q23" s="355" t="str">
        <f>+IF(D23&gt;=50%,IF(E23&gt;=5%,"VALIDO","NO VALIDO"),"NO VALIDO")</f>
        <v>VALIDO</v>
      </c>
      <c r="R23" s="355"/>
      <c r="S23" s="35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45" s="31" customFormat="1" ht="15" customHeight="1" thickBot="1">
      <c r="B24" s="116"/>
      <c r="C24" s="117"/>
      <c r="D24" s="118"/>
      <c r="E24" s="117"/>
      <c r="F24" s="117"/>
      <c r="G24" s="117"/>
      <c r="H24" s="118"/>
      <c r="I24" s="118"/>
      <c r="J24" s="117"/>
      <c r="K24" s="117"/>
      <c r="L24" s="118"/>
      <c r="M24" s="117"/>
      <c r="N24" s="117"/>
      <c r="O24" s="118"/>
      <c r="P24" s="134" t="s">
        <v>31</v>
      </c>
      <c r="Q24" s="346" t="str">
        <f>+Q23</f>
        <v>VALIDO</v>
      </c>
      <c r="R24" s="347"/>
      <c r="S24" s="34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2:45" s="31" customFormat="1" ht="15" thickBot="1">
      <c r="B25" s="338" t="s">
        <v>57</v>
      </c>
      <c r="C25" s="339"/>
      <c r="D25" s="35"/>
      <c r="E25" s="36"/>
      <c r="F25" s="36"/>
      <c r="G25" s="36"/>
      <c r="H25" s="35"/>
      <c r="I25" s="35"/>
      <c r="J25" s="36"/>
      <c r="K25" s="36"/>
      <c r="L25" s="35"/>
      <c r="M25" s="36"/>
      <c r="N25" s="36"/>
      <c r="O25" s="35"/>
      <c r="P25" s="36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2:19" ht="47.25" customHeight="1">
      <c r="B26" s="340" t="s">
        <v>85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N26" s="343" t="s">
        <v>64</v>
      </c>
      <c r="O26" s="344"/>
      <c r="P26" s="344"/>
      <c r="Q26" s="344"/>
      <c r="R26" s="344"/>
      <c r="S26" s="345"/>
    </row>
    <row r="27" spans="2:19" ht="14.25">
      <c r="B27" s="336" t="s">
        <v>81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3" t="s">
        <v>64</v>
      </c>
      <c r="O27" s="334"/>
      <c r="P27" s="334"/>
      <c r="Q27" s="334"/>
      <c r="R27" s="334"/>
      <c r="S27" s="335"/>
    </row>
    <row r="28" spans="2:19" ht="14.25">
      <c r="B28" s="336" t="s">
        <v>82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3" t="s">
        <v>64</v>
      </c>
      <c r="O28" s="334"/>
      <c r="P28" s="334"/>
      <c r="Q28" s="334"/>
      <c r="R28" s="334"/>
      <c r="S28" s="335"/>
    </row>
    <row r="29" spans="2:19" ht="30.75" customHeight="1">
      <c r="B29" s="336" t="s">
        <v>83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3" t="s">
        <v>64</v>
      </c>
      <c r="O29" s="334"/>
      <c r="P29" s="334"/>
      <c r="Q29" s="334"/>
      <c r="R29" s="334"/>
      <c r="S29" s="335"/>
    </row>
    <row r="30" spans="2:19" ht="30.75" customHeight="1" thickBot="1">
      <c r="B30" s="330" t="s">
        <v>114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2"/>
      <c r="N30" s="333" t="s">
        <v>64</v>
      </c>
      <c r="O30" s="334"/>
      <c r="P30" s="334"/>
      <c r="Q30" s="334"/>
      <c r="R30" s="334"/>
      <c r="S30" s="335"/>
    </row>
    <row r="31" spans="2:19" ht="36.75" customHeight="1" thickBot="1">
      <c r="B31" s="327" t="s">
        <v>86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</row>
    <row r="32" spans="2:19" ht="20.25" customHeight="1" thickBot="1">
      <c r="B32" s="7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54.75" thickBot="1">
      <c r="B33" s="7"/>
      <c r="C33" s="3"/>
      <c r="D33" s="7"/>
      <c r="E33" s="7"/>
      <c r="F33" s="7"/>
      <c r="G33" s="7"/>
      <c r="H33" s="7"/>
      <c r="I33" s="7"/>
      <c r="J33" s="7"/>
      <c r="K33" s="7"/>
      <c r="L33" s="7"/>
      <c r="M33" s="235" t="s">
        <v>107</v>
      </c>
      <c r="N33" s="235" t="str">
        <f>+IF(Q24="NO VALIDO","NO ELEGIBLE","ELEGIBLE")</f>
        <v>ELEGIBLE</v>
      </c>
      <c r="O33" s="7"/>
      <c r="P33" s="7"/>
      <c r="Q33" s="7"/>
      <c r="R33" s="7"/>
      <c r="S33" s="7"/>
    </row>
  </sheetData>
  <sheetProtection/>
  <mergeCells count="42">
    <mergeCell ref="B1:S1"/>
    <mergeCell ref="B2:S2"/>
    <mergeCell ref="B3:S3"/>
    <mergeCell ref="B4:S5"/>
    <mergeCell ref="B8:C8"/>
    <mergeCell ref="D8:G8"/>
    <mergeCell ref="H8:J8"/>
    <mergeCell ref="B9:C9"/>
    <mergeCell ref="D9:G9"/>
    <mergeCell ref="H9:J9"/>
    <mergeCell ref="E12:S12"/>
    <mergeCell ref="P13:S13"/>
    <mergeCell ref="P14:S14"/>
    <mergeCell ref="F15:O15"/>
    <mergeCell ref="P15:S15"/>
    <mergeCell ref="F16:O16"/>
    <mergeCell ref="P16:S16"/>
    <mergeCell ref="F17:O17"/>
    <mergeCell ref="P17:S17"/>
    <mergeCell ref="E22:F22"/>
    <mergeCell ref="I22:K22"/>
    <mergeCell ref="L22:M22"/>
    <mergeCell ref="N22:P22"/>
    <mergeCell ref="Q22:S22"/>
    <mergeCell ref="Q24:S24"/>
    <mergeCell ref="E23:F23"/>
    <mergeCell ref="I23:K23"/>
    <mergeCell ref="L23:M23"/>
    <mergeCell ref="N23:P23"/>
    <mergeCell ref="Q23:S23"/>
    <mergeCell ref="B25:C25"/>
    <mergeCell ref="B26:M26"/>
    <mergeCell ref="N26:S26"/>
    <mergeCell ref="B27:M27"/>
    <mergeCell ref="N27:S27"/>
    <mergeCell ref="B31:S31"/>
    <mergeCell ref="B30:M30"/>
    <mergeCell ref="N30:S30"/>
    <mergeCell ref="B28:M28"/>
    <mergeCell ref="N28:S28"/>
    <mergeCell ref="B29:M29"/>
    <mergeCell ref="N29:S29"/>
  </mergeCells>
  <dataValidations count="3">
    <dataValidation type="list" allowBlank="1" showInputMessage="1" showErrorMessage="1" sqref="R28:R30 N26:N30 P28:P30">
      <formula1>$AQ$1:$AQ$2</formula1>
    </dataValidation>
    <dataValidation type="list" allowBlank="1" showInputMessage="1" showErrorMessage="1" sqref="P13:S17">
      <formula1>$AM$13:$AM$18</formula1>
    </dataValidation>
    <dataValidation type="list" allowBlank="1" showInputMessage="1" showErrorMessage="1" sqref="E12">
      <formula1>$AQ$12:$AQ$14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0"/>
  <sheetViews>
    <sheetView tabSelected="1" zoomScale="72" zoomScaleNormal="72" zoomScalePageLayoutView="0" workbookViewId="0" topLeftCell="A19">
      <selection activeCell="B36" sqref="B36:S36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5.0976562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73" t="s">
        <v>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  <c r="AQ1" s="10" t="s">
        <v>6</v>
      </c>
    </row>
    <row r="2" spans="2:43" ht="14.25">
      <c r="B2" s="376" t="s">
        <v>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AQ2" s="10" t="s">
        <v>1</v>
      </c>
    </row>
    <row r="3" spans="2:19" ht="14.25">
      <c r="B3" s="376" t="s">
        <v>71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</row>
    <row r="4" spans="2:19" ht="14.25" customHeight="1">
      <c r="B4" s="379" t="s">
        <v>70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1"/>
    </row>
    <row r="5" spans="2:19" ht="14.25">
      <c r="B5" s="379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2:19" ht="14.25">
      <c r="B6" s="47" t="s">
        <v>7</v>
      </c>
      <c r="C6" s="2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2:19" ht="14.25">
      <c r="B7" s="16"/>
      <c r="C7" s="25"/>
      <c r="D7" s="45"/>
      <c r="E7" s="45"/>
      <c r="F7" s="45"/>
      <c r="G7" s="45"/>
      <c r="H7" s="45"/>
      <c r="I7" s="45"/>
      <c r="J7" s="45"/>
      <c r="K7" s="45"/>
      <c r="L7" s="45"/>
      <c r="N7" s="45"/>
      <c r="O7" s="45"/>
      <c r="P7" s="45" t="s">
        <v>8</v>
      </c>
      <c r="Q7" s="45"/>
      <c r="R7" s="45"/>
      <c r="S7" s="46"/>
    </row>
    <row r="8" spans="2:45" ht="14.25">
      <c r="B8" s="382"/>
      <c r="C8" s="383"/>
      <c r="D8" s="384" t="s">
        <v>9</v>
      </c>
      <c r="E8" s="384"/>
      <c r="F8" s="384"/>
      <c r="G8" s="384"/>
      <c r="H8" s="384" t="s">
        <v>10</v>
      </c>
      <c r="I8" s="384"/>
      <c r="J8" s="385"/>
      <c r="K8" s="45"/>
      <c r="L8" s="45"/>
      <c r="M8" s="45"/>
      <c r="N8" s="45"/>
      <c r="O8" s="45"/>
      <c r="P8" s="45" t="s">
        <v>8</v>
      </c>
      <c r="Q8" s="45"/>
      <c r="R8" s="45"/>
      <c r="S8" s="46"/>
      <c r="AQ8" s="11"/>
      <c r="AR8" s="1"/>
      <c r="AS8" s="1"/>
    </row>
    <row r="9" spans="2:45" ht="14.25">
      <c r="B9" s="364"/>
      <c r="C9" s="365"/>
      <c r="D9" s="366">
        <v>14762556290</v>
      </c>
      <c r="E9" s="366"/>
      <c r="F9" s="366"/>
      <c r="G9" s="366"/>
      <c r="H9" s="367" t="s">
        <v>72</v>
      </c>
      <c r="I9" s="368"/>
      <c r="J9" s="369"/>
      <c r="K9" s="45"/>
      <c r="L9" s="45"/>
      <c r="M9" s="45"/>
      <c r="N9" s="45"/>
      <c r="O9" s="45"/>
      <c r="P9" s="45"/>
      <c r="Q9" s="45"/>
      <c r="R9" s="45"/>
      <c r="S9" s="46"/>
      <c r="AQ9" s="11"/>
      <c r="AR9" s="1"/>
      <c r="AS9" s="1"/>
    </row>
    <row r="10" spans="2:19" ht="14.25">
      <c r="B10" s="16"/>
      <c r="C10" s="2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2:19" ht="14.25">
      <c r="B11" s="48" t="s">
        <v>79</v>
      </c>
      <c r="C11" s="18"/>
      <c r="D11" s="19"/>
      <c r="E11" s="20" t="str">
        <f>+'Exp. como consultor'!E11</f>
        <v>CONSORCIO CANAAN-CONTEIN-AMP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9"/>
    </row>
    <row r="12" spans="2:43" ht="14.25">
      <c r="B12" s="50" t="s">
        <v>11</v>
      </c>
      <c r="C12" s="18"/>
      <c r="D12" s="19"/>
      <c r="E12" s="370" t="s">
        <v>80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2"/>
      <c r="T12" s="17"/>
      <c r="AQ12" s="10" t="s">
        <v>2</v>
      </c>
    </row>
    <row r="13" spans="2:43" ht="14.25">
      <c r="B13" s="51" t="s">
        <v>12</v>
      </c>
      <c r="C13" s="22"/>
      <c r="D13" s="23">
        <v>1</v>
      </c>
      <c r="E13" s="279">
        <f>+'Exp. como consultor'!E13</f>
        <v>0.475</v>
      </c>
      <c r="F13" s="386" t="str">
        <f>+'Exp. como consultor'!F13</f>
        <v>CONSTRUCTORA CANNAN S.A.</v>
      </c>
      <c r="G13" s="357"/>
      <c r="H13" s="357"/>
      <c r="I13" s="357"/>
      <c r="J13" s="357"/>
      <c r="K13" s="357"/>
      <c r="L13" s="357"/>
      <c r="M13" s="357"/>
      <c r="N13" s="357"/>
      <c r="O13" s="357"/>
      <c r="P13" s="358"/>
      <c r="Q13" s="358"/>
      <c r="R13" s="358"/>
      <c r="S13" s="359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79">
        <f>+'Exp. como consultor'!E14</f>
        <v>0.475</v>
      </c>
      <c r="F14" s="386" t="str">
        <f>+'Exp. como consultor'!F14</f>
        <v>CONSTRUCCIONES TECNICAS DE INGENIERIA LTDA. - CONTEIN</v>
      </c>
      <c r="G14" s="357"/>
      <c r="H14" s="357"/>
      <c r="I14" s="357"/>
      <c r="J14" s="357"/>
      <c r="K14" s="357"/>
      <c r="L14" s="357"/>
      <c r="M14" s="357"/>
      <c r="N14" s="357"/>
      <c r="O14" s="357"/>
      <c r="P14" s="358"/>
      <c r="Q14" s="358"/>
      <c r="R14" s="358"/>
      <c r="S14" s="359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f>+'Exp. como consultor'!E15</f>
        <v>0.05</v>
      </c>
      <c r="F15" s="386" t="str">
        <f>+'Exp. como consultor'!F15</f>
        <v>AMP MENDEZ &amp; ASOCIADOS PROYECTOS DE INGENIERIA LTDA.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8"/>
      <c r="Q15" s="358"/>
      <c r="R15" s="358"/>
      <c r="S15" s="359"/>
      <c r="AM15" s="10" t="s">
        <v>16</v>
      </c>
    </row>
    <row r="16" spans="2:39" ht="14.25">
      <c r="B16" s="16"/>
      <c r="C16" s="25"/>
      <c r="D16" s="26">
        <v>4</v>
      </c>
      <c r="E16" s="24">
        <f>+'Exp. como consultor'!E16</f>
        <v>0</v>
      </c>
      <c r="F16" s="386">
        <f>+'Exp. como consultor'!F16</f>
        <v>0</v>
      </c>
      <c r="G16" s="357"/>
      <c r="H16" s="357"/>
      <c r="I16" s="357"/>
      <c r="J16" s="357"/>
      <c r="K16" s="357"/>
      <c r="L16" s="357"/>
      <c r="M16" s="357"/>
      <c r="N16" s="357"/>
      <c r="O16" s="357"/>
      <c r="P16" s="358"/>
      <c r="Q16" s="358"/>
      <c r="R16" s="358"/>
      <c r="S16" s="359"/>
      <c r="AM16" s="10" t="s">
        <v>17</v>
      </c>
    </row>
    <row r="17" spans="2:39" ht="14.25">
      <c r="B17" s="52"/>
      <c r="C17" s="27"/>
      <c r="D17" s="28"/>
      <c r="E17" s="24"/>
      <c r="F17" s="386"/>
      <c r="G17" s="357"/>
      <c r="H17" s="357"/>
      <c r="I17" s="357"/>
      <c r="J17" s="357"/>
      <c r="K17" s="357"/>
      <c r="L17" s="357"/>
      <c r="M17" s="357"/>
      <c r="N17" s="357"/>
      <c r="O17" s="357"/>
      <c r="P17" s="358"/>
      <c r="Q17" s="358"/>
      <c r="R17" s="358"/>
      <c r="S17" s="359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26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5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57" customHeight="1">
      <c r="B22" s="137" t="s">
        <v>63</v>
      </c>
      <c r="C22" s="138" t="s">
        <v>19</v>
      </c>
      <c r="D22" s="139" t="s">
        <v>20</v>
      </c>
      <c r="E22" s="360" t="s">
        <v>21</v>
      </c>
      <c r="F22" s="360"/>
      <c r="G22" s="138" t="s">
        <v>22</v>
      </c>
      <c r="H22" s="139" t="s">
        <v>23</v>
      </c>
      <c r="I22" s="361" t="s">
        <v>24</v>
      </c>
      <c r="J22" s="360"/>
      <c r="K22" s="360"/>
      <c r="L22" s="361" t="s">
        <v>115</v>
      </c>
      <c r="M22" s="360"/>
      <c r="N22" s="361" t="s">
        <v>118</v>
      </c>
      <c r="O22" s="360"/>
      <c r="P22" s="360"/>
      <c r="Q22" s="362" t="s">
        <v>106</v>
      </c>
      <c r="R22" s="362"/>
      <c r="S22" s="36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153</v>
      </c>
      <c r="C23" s="30">
        <v>1</v>
      </c>
      <c r="D23" s="136">
        <v>1</v>
      </c>
      <c r="E23" s="389">
        <f>+E13</f>
        <v>0.475</v>
      </c>
      <c r="F23" s="390"/>
      <c r="G23" s="33">
        <v>38273</v>
      </c>
      <c r="H23" s="34">
        <v>39232</v>
      </c>
      <c r="I23" s="351">
        <v>23691160833</v>
      </c>
      <c r="J23" s="351"/>
      <c r="K23" s="351"/>
      <c r="L23" s="391">
        <v>11905.92</v>
      </c>
      <c r="M23" s="391"/>
      <c r="N23" s="353">
        <f>+L23</f>
        <v>11905.92</v>
      </c>
      <c r="O23" s="354"/>
      <c r="P23" s="354"/>
      <c r="Q23" s="355" t="str">
        <f>+IF(D23&gt;=35%,IF(E23&gt;=30%,"VALIDO","NO VALIDO"),"NO VALIDO")</f>
        <v>VALIDO</v>
      </c>
      <c r="R23" s="355"/>
      <c r="S23" s="35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19" ht="14.25">
      <c r="B24" s="246">
        <v>155</v>
      </c>
      <c r="C24" s="247">
        <v>2</v>
      </c>
      <c r="D24" s="248">
        <v>0.75</v>
      </c>
      <c r="E24" s="404">
        <f>+E14</f>
        <v>0.475</v>
      </c>
      <c r="F24" s="405"/>
      <c r="G24" s="249">
        <v>38370</v>
      </c>
      <c r="H24" s="250">
        <v>38987</v>
      </c>
      <c r="I24" s="406">
        <v>12816617609</v>
      </c>
      <c r="J24" s="406"/>
      <c r="K24" s="406"/>
      <c r="L24" s="392">
        <v>33669.13</v>
      </c>
      <c r="M24" s="392"/>
      <c r="N24" s="393">
        <f>+L24</f>
        <v>33669.13</v>
      </c>
      <c r="O24" s="394"/>
      <c r="P24" s="395"/>
      <c r="Q24" s="387" t="str">
        <f>+IF(D24&gt;=35%,IF(E24&gt;=30%,"VALIDO","NO VALIDO"),"NO VALIDO")</f>
        <v>VALIDO</v>
      </c>
      <c r="R24" s="387"/>
      <c r="S24" s="388"/>
    </row>
    <row r="25" spans="2:45" s="31" customFormat="1" ht="15" thickBot="1">
      <c r="B25" s="116"/>
      <c r="C25" s="117"/>
      <c r="D25" s="118"/>
      <c r="E25" s="117"/>
      <c r="F25" s="117"/>
      <c r="G25" s="117"/>
      <c r="H25" s="118"/>
      <c r="I25" s="118"/>
      <c r="J25" s="117"/>
      <c r="K25" s="117"/>
      <c r="L25" s="118"/>
      <c r="M25" s="117"/>
      <c r="N25" s="117"/>
      <c r="O25" s="118"/>
      <c r="P25" s="134" t="s">
        <v>31</v>
      </c>
      <c r="Q25" s="346" t="str">
        <f>+IF(Q23="VALIDO",IF(Q24="VALIDO","VALIDO","NO VALIDO"),"NO VALIDO")</f>
        <v>VALIDO</v>
      </c>
      <c r="R25" s="347"/>
      <c r="S25" s="34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2:45" s="31" customFormat="1" ht="17.25" customHeight="1" thickBot="1">
      <c r="B26" s="338" t="s">
        <v>116</v>
      </c>
      <c r="C26" s="339"/>
      <c r="D26" s="35"/>
      <c r="E26" s="36"/>
      <c r="F26" s="36"/>
      <c r="G26" s="36"/>
      <c r="H26" s="35"/>
      <c r="I26" s="35"/>
      <c r="J26" s="36"/>
      <c r="K26" s="36"/>
      <c r="L26" s="35"/>
      <c r="M26" s="36"/>
      <c r="N26" s="36"/>
      <c r="O26" s="35"/>
      <c r="P26" s="36"/>
      <c r="Q26" s="35"/>
      <c r="R26" s="36"/>
      <c r="S26" s="59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2:19" ht="68.25" customHeight="1">
      <c r="B27" s="397" t="s">
        <v>73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2"/>
      <c r="N27" s="343" t="s">
        <v>64</v>
      </c>
      <c r="O27" s="344"/>
      <c r="P27" s="344"/>
      <c r="Q27" s="344"/>
      <c r="R27" s="344"/>
      <c r="S27" s="345"/>
    </row>
    <row r="28" spans="2:19" ht="14.25">
      <c r="B28" s="336" t="s">
        <v>74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3" t="s">
        <v>64</v>
      </c>
      <c r="O28" s="334"/>
      <c r="P28" s="334"/>
      <c r="Q28" s="334"/>
      <c r="R28" s="334"/>
      <c r="S28" s="335"/>
    </row>
    <row r="29" spans="2:19" ht="14.25">
      <c r="B29" s="396" t="s">
        <v>25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3" t="s">
        <v>64</v>
      </c>
      <c r="O29" s="334"/>
      <c r="P29" s="334"/>
      <c r="Q29" s="334"/>
      <c r="R29" s="334"/>
      <c r="S29" s="335"/>
    </row>
    <row r="30" spans="2:19" ht="33" customHeight="1" thickBot="1">
      <c r="B30" s="336" t="s">
        <v>75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3" t="s">
        <v>64</v>
      </c>
      <c r="O30" s="334"/>
      <c r="P30" s="334"/>
      <c r="Q30" s="334"/>
      <c r="R30" s="334"/>
      <c r="S30" s="335"/>
    </row>
    <row r="31" spans="2:19" ht="14.25">
      <c r="B31" s="398" t="s">
        <v>117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400"/>
      <c r="O31" s="344"/>
      <c r="P31" s="344">
        <f>N31</f>
        <v>0</v>
      </c>
      <c r="Q31" s="344"/>
      <c r="R31" s="344">
        <f>N31</f>
        <v>0</v>
      </c>
      <c r="S31" s="345"/>
    </row>
    <row r="32" spans="2:19" ht="45" customHeight="1">
      <c r="B32" s="401" t="s">
        <v>76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3"/>
      <c r="N32" s="333" t="s">
        <v>64</v>
      </c>
      <c r="O32" s="407"/>
      <c r="P32" s="407"/>
      <c r="Q32" s="407"/>
      <c r="R32" s="407"/>
      <c r="S32" s="408"/>
    </row>
    <row r="33" spans="2:19" ht="18.75" customHeight="1">
      <c r="B33" s="336" t="s">
        <v>77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3" t="s">
        <v>64</v>
      </c>
      <c r="O33" s="334"/>
      <c r="P33" s="334"/>
      <c r="Q33" s="334"/>
      <c r="R33" s="334"/>
      <c r="S33" s="335"/>
    </row>
    <row r="34" spans="2:19" ht="17.25" customHeight="1">
      <c r="B34" s="336" t="s">
        <v>58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3" t="s">
        <v>64</v>
      </c>
      <c r="O34" s="334"/>
      <c r="P34" s="334"/>
      <c r="Q34" s="334"/>
      <c r="R34" s="334"/>
      <c r="S34" s="335"/>
    </row>
    <row r="35" spans="2:19" ht="63" customHeight="1" thickBot="1">
      <c r="B35" s="336" t="s">
        <v>132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3" t="s">
        <v>64</v>
      </c>
      <c r="O35" s="334"/>
      <c r="P35" s="334"/>
      <c r="Q35" s="334"/>
      <c r="R35" s="334"/>
      <c r="S35" s="335"/>
    </row>
    <row r="36" spans="2:19" ht="78.75" customHeight="1" thickBot="1">
      <c r="B36" s="327" t="s">
        <v>78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9"/>
    </row>
    <row r="37" spans="2:19" ht="14.25">
      <c r="B37" s="7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4.25">
      <c r="B38" s="7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15" thickBot="1"/>
    <row r="40" spans="13:14" ht="54.75" thickBot="1">
      <c r="M40" s="235" t="s">
        <v>107</v>
      </c>
      <c r="N40" s="235" t="str">
        <f>+IF(Q25="NO VALIDO","NO ELEGIBLE","ELEGIBLE")</f>
        <v>ELEGIBLE</v>
      </c>
    </row>
  </sheetData>
  <sheetProtection/>
  <mergeCells count="57">
    <mergeCell ref="B36:S36"/>
    <mergeCell ref="Q22:S22"/>
    <mergeCell ref="Q23:S23"/>
    <mergeCell ref="Q25:S25"/>
    <mergeCell ref="B33:M33"/>
    <mergeCell ref="N33:S33"/>
    <mergeCell ref="B34:M34"/>
    <mergeCell ref="N34:S34"/>
    <mergeCell ref="B35:M35"/>
    <mergeCell ref="N35:S35"/>
    <mergeCell ref="B31:M31"/>
    <mergeCell ref="N31:S31"/>
    <mergeCell ref="B32:M32"/>
    <mergeCell ref="E24:F24"/>
    <mergeCell ref="I24:K24"/>
    <mergeCell ref="N32:S32"/>
    <mergeCell ref="B30:M30"/>
    <mergeCell ref="N30:S30"/>
    <mergeCell ref="B27:M27"/>
    <mergeCell ref="N27:S27"/>
    <mergeCell ref="B28:M28"/>
    <mergeCell ref="N28:S28"/>
    <mergeCell ref="B26:C26"/>
    <mergeCell ref="L24:M24"/>
    <mergeCell ref="N24:P24"/>
    <mergeCell ref="B29:M29"/>
    <mergeCell ref="N29:S29"/>
    <mergeCell ref="Q24:S24"/>
    <mergeCell ref="E22:F22"/>
    <mergeCell ref="I22:K22"/>
    <mergeCell ref="N22:P22"/>
    <mergeCell ref="L22:M22"/>
    <mergeCell ref="E23:F23"/>
    <mergeCell ref="I23:K23"/>
    <mergeCell ref="N23:P23"/>
    <mergeCell ref="L23:M23"/>
    <mergeCell ref="F17:O17"/>
    <mergeCell ref="P17:S17"/>
    <mergeCell ref="B1:S1"/>
    <mergeCell ref="B2:S2"/>
    <mergeCell ref="B3:S3"/>
    <mergeCell ref="B8:C8"/>
    <mergeCell ref="D8:G8"/>
    <mergeCell ref="H8:J8"/>
    <mergeCell ref="B4:S5"/>
    <mergeCell ref="F14:O14"/>
    <mergeCell ref="P14:S14"/>
    <mergeCell ref="F15:O15"/>
    <mergeCell ref="P15:S15"/>
    <mergeCell ref="F16:O16"/>
    <mergeCell ref="P16:S16"/>
    <mergeCell ref="B9:C9"/>
    <mergeCell ref="D9:G9"/>
    <mergeCell ref="H9:J9"/>
    <mergeCell ref="E12:S12"/>
    <mergeCell ref="F13:O13"/>
    <mergeCell ref="P13:S13"/>
  </mergeCells>
  <dataValidations count="3">
    <dataValidation type="list" allowBlank="1" showInputMessage="1" showErrorMessage="1" sqref="O31:R31 P33:P35 R33:R35 N27:N35 R29:R30 P29:P30">
      <formula1>$AQ$1:$AQ$2</formula1>
    </dataValidation>
    <dataValidation type="list" allowBlank="1" showInputMessage="1" showErrorMessage="1" sqref="E12">
      <formula1>$AQ$12:$AQ$14</formula1>
    </dataValidation>
    <dataValidation type="list" allowBlank="1" showInputMessage="1" showErrorMessage="1" sqref="P13:S17">
      <formula1>$AM$13:$AM$18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1"/>
  <sheetViews>
    <sheetView zoomScale="81" zoomScaleNormal="81" zoomScalePageLayoutView="0" workbookViewId="0" topLeftCell="A67">
      <selection activeCell="F91" sqref="F91"/>
    </sheetView>
  </sheetViews>
  <sheetFormatPr defaultColWidth="11.19921875" defaultRowHeight="14.25"/>
  <cols>
    <col min="2" max="2" width="16.19921875" style="0" customWidth="1"/>
    <col min="3" max="3" width="16.296875" style="0" customWidth="1"/>
    <col min="4" max="4" width="13.69921875" style="0" customWidth="1"/>
    <col min="12" max="12" width="14.3984375" style="0" bestFit="1" customWidth="1"/>
  </cols>
  <sheetData>
    <row r="1" spans="8:19" ht="15" thickBot="1"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2:45" s="1" customFormat="1" ht="14.25">
      <c r="B2" s="373" t="s">
        <v>4</v>
      </c>
      <c r="C2" s="374"/>
      <c r="D2" s="374"/>
      <c r="E2" s="374"/>
      <c r="F2" s="200"/>
      <c r="G2" s="201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6</v>
      </c>
      <c r="AR2" s="10"/>
      <c r="AS2" s="11"/>
    </row>
    <row r="3" spans="2:45" s="1" customFormat="1" ht="14.25">
      <c r="B3" s="376" t="s">
        <v>5</v>
      </c>
      <c r="C3" s="377"/>
      <c r="D3" s="377"/>
      <c r="E3" s="377"/>
      <c r="F3" s="202"/>
      <c r="G3" s="203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 t="s">
        <v>1</v>
      </c>
      <c r="AR3" s="10"/>
      <c r="AS3" s="11"/>
    </row>
    <row r="4" spans="2:45" s="1" customFormat="1" ht="15" thickBot="1">
      <c r="B4" s="412" t="s">
        <v>71</v>
      </c>
      <c r="C4" s="413"/>
      <c r="D4" s="413"/>
      <c r="E4" s="413"/>
      <c r="F4" s="204"/>
      <c r="G4" s="205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7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2:45" s="1" customFormat="1" ht="14.25">
      <c r="B5" s="187"/>
      <c r="C5" s="187"/>
      <c r="D5" s="187"/>
      <c r="E5" s="187"/>
      <c r="F5" s="187"/>
      <c r="G5" s="187"/>
      <c r="H5" s="188"/>
      <c r="I5" s="188"/>
      <c r="J5" s="188"/>
      <c r="K5" s="188"/>
      <c r="L5" s="15"/>
      <c r="M5" s="43"/>
      <c r="N5" s="43"/>
      <c r="O5" s="43"/>
      <c r="P5" s="43"/>
      <c r="Q5" s="43"/>
      <c r="R5" s="43"/>
      <c r="S5" s="43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</row>
    <row r="6" spans="2:45" s="1" customFormat="1" ht="15" thickBot="1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5"/>
      <c r="M6" s="43"/>
      <c r="N6" s="43"/>
      <c r="O6" s="43"/>
      <c r="P6" s="43"/>
      <c r="Q6" s="43"/>
      <c r="R6" s="43"/>
      <c r="S6" s="43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</row>
    <row r="7" spans="1:45" s="1" customFormat="1" ht="51.75" customHeight="1" thickBot="1">
      <c r="A7" s="409" t="s">
        <v>91</v>
      </c>
      <c r="B7" s="410"/>
      <c r="C7" s="410"/>
      <c r="D7" s="410"/>
      <c r="E7" s="410"/>
      <c r="F7" s="410"/>
      <c r="G7" s="410"/>
      <c r="H7" s="410"/>
      <c r="I7" s="410"/>
      <c r="J7" s="411"/>
      <c r="K7" s="188"/>
      <c r="L7" s="15"/>
      <c r="M7" s="43"/>
      <c r="N7" s="43"/>
      <c r="O7" s="43"/>
      <c r="P7" s="43"/>
      <c r="Q7" s="43"/>
      <c r="R7" s="43"/>
      <c r="S7" s="43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</row>
    <row r="8" spans="1:45" s="1" customFormat="1" ht="65.25" customHeight="1" thickBot="1">
      <c r="A8" s="409" t="s">
        <v>92</v>
      </c>
      <c r="B8" s="410"/>
      <c r="C8" s="410"/>
      <c r="D8" s="410"/>
      <c r="E8" s="410"/>
      <c r="F8" s="410"/>
      <c r="G8" s="410"/>
      <c r="H8" s="410"/>
      <c r="I8" s="410"/>
      <c r="J8" s="411"/>
      <c r="K8" s="188"/>
      <c r="L8" s="15"/>
      <c r="M8" s="43"/>
      <c r="N8" s="43"/>
      <c r="O8" s="43"/>
      <c r="P8" s="43"/>
      <c r="Q8" s="43"/>
      <c r="R8" s="43"/>
      <c r="S8" s="43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1"/>
    </row>
    <row r="9" ht="15" thickBot="1"/>
    <row r="10" spans="1:23" ht="15" thickBot="1">
      <c r="A10" s="78" t="s">
        <v>65</v>
      </c>
      <c r="B10" s="78"/>
      <c r="C10" s="79"/>
      <c r="D10" s="80" t="s">
        <v>133</v>
      </c>
      <c r="E10" s="80"/>
      <c r="F10" s="81"/>
      <c r="G10" s="82"/>
      <c r="H10" s="83"/>
      <c r="I10" s="85"/>
      <c r="J10" s="84"/>
      <c r="K10" s="86"/>
      <c r="L10" s="87"/>
      <c r="M10" s="87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ht="15" thickBot="1">
      <c r="A11" s="88"/>
      <c r="B11" s="88"/>
      <c r="C11" s="89"/>
      <c r="D11" s="89"/>
      <c r="E11" s="90"/>
      <c r="F11" s="90"/>
      <c r="G11" s="90"/>
      <c r="H11" s="83"/>
      <c r="I11" s="85"/>
      <c r="J11" s="84"/>
      <c r="K11" s="84"/>
      <c r="L11" s="87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ht="15" thickBot="1">
      <c r="A12" s="91" t="s">
        <v>43</v>
      </c>
      <c r="B12" s="92"/>
      <c r="C12" s="92"/>
      <c r="D12" s="92"/>
      <c r="E12" s="93"/>
      <c r="F12" s="93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ht="15">
      <c r="A13" s="96" t="s">
        <v>44</v>
      </c>
      <c r="B13" s="97" t="s">
        <v>45</v>
      </c>
      <c r="C13" s="97" t="s">
        <v>46</v>
      </c>
      <c r="D13" s="98" t="s">
        <v>47</v>
      </c>
      <c r="E13" s="99"/>
      <c r="F13" s="416" t="s">
        <v>48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ht="15" thickBot="1">
      <c r="A14" s="100" t="s">
        <v>87</v>
      </c>
      <c r="B14" s="101" t="s">
        <v>49</v>
      </c>
      <c r="C14" s="101" t="s">
        <v>50</v>
      </c>
      <c r="D14" s="102" t="s">
        <v>51</v>
      </c>
      <c r="E14" s="103" t="s">
        <v>52</v>
      </c>
      <c r="F14" s="41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s="105" customFormat="1" ht="15.75" thickBot="1">
      <c r="A15" s="106">
        <v>180</v>
      </c>
      <c r="B15" s="107" t="s">
        <v>119</v>
      </c>
      <c r="C15" s="108">
        <v>31351</v>
      </c>
      <c r="D15" s="109" t="s">
        <v>134</v>
      </c>
      <c r="E15" s="110">
        <v>31954</v>
      </c>
      <c r="F15" s="111" t="s">
        <v>41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spans="1:23" s="105" customFormat="1" ht="15">
      <c r="A16" s="264"/>
      <c r="B16" s="264"/>
      <c r="C16" s="91" t="s">
        <v>122</v>
      </c>
      <c r="D16" s="264"/>
      <c r="E16" s="265"/>
      <c r="F16" s="266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3" s="105" customFormat="1" ht="30">
      <c r="A17" s="267">
        <v>256</v>
      </c>
      <c r="B17" s="268" t="s">
        <v>135</v>
      </c>
      <c r="C17" s="269">
        <v>34393</v>
      </c>
      <c r="D17" s="267"/>
      <c r="E17" s="270"/>
      <c r="F17" s="271" t="s">
        <v>41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9" ht="15" thickBot="1"/>
    <row r="20" spans="1:11" ht="38.25" customHeight="1">
      <c r="A20" s="70" t="s">
        <v>88</v>
      </c>
      <c r="B20" s="71"/>
      <c r="C20" s="71"/>
      <c r="D20" s="60"/>
      <c r="E20" s="418" t="s">
        <v>54</v>
      </c>
      <c r="F20" s="419"/>
      <c r="G20" s="72" t="s">
        <v>35</v>
      </c>
      <c r="H20" s="60" t="s">
        <v>36</v>
      </c>
      <c r="I20" s="73" t="s">
        <v>37</v>
      </c>
      <c r="J20" s="414" t="s">
        <v>38</v>
      </c>
      <c r="K20" s="73" t="s">
        <v>53</v>
      </c>
    </row>
    <row r="21" spans="1:11" ht="23.25" thickBot="1">
      <c r="A21" s="74"/>
      <c r="B21" s="75"/>
      <c r="C21" s="75"/>
      <c r="D21" s="76"/>
      <c r="E21" s="61" t="s">
        <v>39</v>
      </c>
      <c r="F21" s="62" t="s">
        <v>40</v>
      </c>
      <c r="G21" s="112"/>
      <c r="H21" s="63"/>
      <c r="I21" s="77"/>
      <c r="J21" s="415"/>
      <c r="K21" s="113"/>
    </row>
    <row r="22" spans="1:11" s="292" customFormat="1" ht="14.25">
      <c r="A22" s="300">
        <v>194</v>
      </c>
      <c r="B22" s="301"/>
      <c r="C22" s="301"/>
      <c r="D22" s="302"/>
      <c r="E22" s="303">
        <v>31954</v>
      </c>
      <c r="F22" s="304">
        <v>32486</v>
      </c>
      <c r="G22" s="305">
        <v>1</v>
      </c>
      <c r="H22" s="306" t="s">
        <v>67</v>
      </c>
      <c r="I22" s="307">
        <f aca="true" t="shared" si="0" ref="I22:I28">ROUND((DAYS360(E22,F22)/30),1)*G22</f>
        <v>17.4</v>
      </c>
      <c r="J22" s="299" t="s">
        <v>41</v>
      </c>
      <c r="K22" s="308"/>
    </row>
    <row r="23" spans="1:11" s="292" customFormat="1" ht="14.25">
      <c r="A23" s="295">
        <v>195</v>
      </c>
      <c r="B23" s="296"/>
      <c r="C23" s="296"/>
      <c r="D23" s="297"/>
      <c r="E23" s="298">
        <v>33938</v>
      </c>
      <c r="F23" s="298">
        <v>34363</v>
      </c>
      <c r="G23" s="288">
        <v>1</v>
      </c>
      <c r="H23" s="295" t="s">
        <v>67</v>
      </c>
      <c r="I23" s="290">
        <f t="shared" si="0"/>
        <v>14</v>
      </c>
      <c r="J23" s="299" t="s">
        <v>41</v>
      </c>
      <c r="K23" s="292" t="str">
        <f>+IF(E23&gt;=F22,"OK","TRASLAPO")</f>
        <v>OK</v>
      </c>
    </row>
    <row r="24" spans="1:11" s="292" customFormat="1" ht="14.25">
      <c r="A24" s="295">
        <v>193</v>
      </c>
      <c r="B24" s="296"/>
      <c r="C24" s="296"/>
      <c r="D24" s="297"/>
      <c r="E24" s="298">
        <v>35854</v>
      </c>
      <c r="F24" s="298">
        <v>36736</v>
      </c>
      <c r="G24" s="288">
        <v>1</v>
      </c>
      <c r="H24" s="295" t="s">
        <v>67</v>
      </c>
      <c r="I24" s="290">
        <f t="shared" si="0"/>
        <v>29</v>
      </c>
      <c r="J24" s="299" t="s">
        <v>41</v>
      </c>
      <c r="K24" s="292" t="str">
        <f aca="true" t="shared" si="1" ref="K24:K33">+IF(E24&gt;=F23,"OK","TRASLAPO")</f>
        <v>OK</v>
      </c>
    </row>
    <row r="25" spans="1:11" ht="14.25">
      <c r="A25" s="148">
        <v>199</v>
      </c>
      <c r="B25" s="148"/>
      <c r="C25" s="114"/>
      <c r="D25" s="114"/>
      <c r="E25" s="149">
        <v>36846</v>
      </c>
      <c r="F25" s="149">
        <v>37103</v>
      </c>
      <c r="G25" s="115">
        <v>1</v>
      </c>
      <c r="H25" s="114" t="s">
        <v>67</v>
      </c>
      <c r="I25" s="164">
        <f t="shared" si="0"/>
        <v>8.5</v>
      </c>
      <c r="J25" s="64" t="s">
        <v>41</v>
      </c>
      <c r="K25" t="str">
        <f t="shared" si="1"/>
        <v>OK</v>
      </c>
    </row>
    <row r="26" spans="1:11" ht="24">
      <c r="A26" s="148">
        <v>197</v>
      </c>
      <c r="B26" s="148"/>
      <c r="C26" s="114"/>
      <c r="D26" s="114"/>
      <c r="E26" s="149">
        <v>37306</v>
      </c>
      <c r="F26" s="149">
        <v>37759</v>
      </c>
      <c r="G26" s="115">
        <v>1</v>
      </c>
      <c r="H26" s="114" t="s">
        <v>136</v>
      </c>
      <c r="I26" s="164">
        <f t="shared" si="0"/>
        <v>15</v>
      </c>
      <c r="J26" s="64" t="s">
        <v>41</v>
      </c>
      <c r="K26" t="str">
        <f t="shared" si="1"/>
        <v>OK</v>
      </c>
    </row>
    <row r="27" spans="1:11" ht="24">
      <c r="A27" s="148">
        <v>196</v>
      </c>
      <c r="B27" s="148"/>
      <c r="C27" s="114"/>
      <c r="D27" s="114"/>
      <c r="E27" s="149">
        <v>37760</v>
      </c>
      <c r="F27" s="149">
        <v>37916</v>
      </c>
      <c r="G27" s="115">
        <v>1</v>
      </c>
      <c r="H27" s="114" t="s">
        <v>136</v>
      </c>
      <c r="I27" s="164">
        <f t="shared" si="0"/>
        <v>5.1</v>
      </c>
      <c r="J27" s="64" t="s">
        <v>41</v>
      </c>
      <c r="K27" t="str">
        <f t="shared" si="1"/>
        <v>OK</v>
      </c>
    </row>
    <row r="28" spans="1:11" ht="24">
      <c r="A28" s="148">
        <v>196</v>
      </c>
      <c r="B28" s="148"/>
      <c r="C28" s="114"/>
      <c r="D28" s="114"/>
      <c r="E28" s="149">
        <v>37917</v>
      </c>
      <c r="F28" s="149">
        <v>37938</v>
      </c>
      <c r="G28" s="115">
        <v>1</v>
      </c>
      <c r="H28" s="114" t="s">
        <v>136</v>
      </c>
      <c r="I28" s="164">
        <f t="shared" si="0"/>
        <v>0.7</v>
      </c>
      <c r="J28" s="64" t="s">
        <v>41</v>
      </c>
      <c r="K28" t="str">
        <f t="shared" si="1"/>
        <v>OK</v>
      </c>
    </row>
    <row r="29" spans="1:11" ht="24">
      <c r="A29" s="148">
        <v>198</v>
      </c>
      <c r="B29" s="148"/>
      <c r="C29" s="114"/>
      <c r="D29" s="114"/>
      <c r="E29" s="149">
        <v>37939</v>
      </c>
      <c r="F29" s="149">
        <v>38076</v>
      </c>
      <c r="G29" s="115">
        <v>1</v>
      </c>
      <c r="H29" s="114" t="s">
        <v>136</v>
      </c>
      <c r="I29" s="164">
        <f>ROUND((DAYS360(E29,F29)/30),1)*G29</f>
        <v>4.5</v>
      </c>
      <c r="J29" s="64" t="s">
        <v>41</v>
      </c>
      <c r="K29" t="str">
        <f t="shared" si="1"/>
        <v>OK</v>
      </c>
    </row>
    <row r="30" spans="1:11" s="292" customFormat="1" ht="24">
      <c r="A30" s="293">
        <v>192</v>
      </c>
      <c r="B30" s="293"/>
      <c r="C30" s="289"/>
      <c r="D30" s="289"/>
      <c r="E30" s="294">
        <v>38077</v>
      </c>
      <c r="F30" s="294">
        <v>38366</v>
      </c>
      <c r="G30" s="288">
        <v>1</v>
      </c>
      <c r="H30" s="289" t="s">
        <v>59</v>
      </c>
      <c r="I30" s="290">
        <f>ROUND((DAYS360(E30,F30)/30),1)*G30</f>
        <v>9.5</v>
      </c>
      <c r="J30" s="291" t="s">
        <v>41</v>
      </c>
      <c r="K30" t="str">
        <f t="shared" si="1"/>
        <v>OK</v>
      </c>
    </row>
    <row r="31" spans="1:11" ht="24">
      <c r="A31" s="148">
        <v>197</v>
      </c>
      <c r="B31" s="148"/>
      <c r="C31" s="114"/>
      <c r="D31" s="114"/>
      <c r="E31" s="149">
        <v>38367</v>
      </c>
      <c r="F31" s="149">
        <v>38369</v>
      </c>
      <c r="G31" s="115">
        <v>1</v>
      </c>
      <c r="H31" s="114" t="s">
        <v>136</v>
      </c>
      <c r="I31" s="164">
        <f>ROUND((DAYS360(E31,F31)/30),1)*G31</f>
        <v>0.1</v>
      </c>
      <c r="J31" s="64" t="s">
        <v>41</v>
      </c>
      <c r="K31" t="str">
        <f t="shared" si="1"/>
        <v>OK</v>
      </c>
    </row>
    <row r="32" spans="1:11" s="292" customFormat="1" ht="24">
      <c r="A32" s="293">
        <v>191</v>
      </c>
      <c r="B32" s="293"/>
      <c r="C32" s="289"/>
      <c r="D32" s="289"/>
      <c r="E32" s="294">
        <v>38370</v>
      </c>
      <c r="F32" s="294">
        <v>38987</v>
      </c>
      <c r="G32" s="288">
        <v>1</v>
      </c>
      <c r="H32" s="289" t="s">
        <v>59</v>
      </c>
      <c r="I32" s="290">
        <f>ROUND((DAYS360(E32,F32)/30),1)*G32</f>
        <v>20.3</v>
      </c>
      <c r="J32" s="291" t="s">
        <v>41</v>
      </c>
      <c r="K32" t="str">
        <f t="shared" si="1"/>
        <v>OK</v>
      </c>
    </row>
    <row r="33" spans="1:11" s="292" customFormat="1" ht="24.75" thickBot="1">
      <c r="A33" s="285">
        <v>190</v>
      </c>
      <c r="B33" s="285"/>
      <c r="C33" s="286"/>
      <c r="D33" s="286"/>
      <c r="E33" s="287">
        <v>38990</v>
      </c>
      <c r="F33" s="287">
        <v>39201</v>
      </c>
      <c r="G33" s="288">
        <v>1</v>
      </c>
      <c r="H33" s="289" t="s">
        <v>59</v>
      </c>
      <c r="I33" s="290">
        <f>ROUND((DAYS360(E33,F33)/30),1)*G33</f>
        <v>7</v>
      </c>
      <c r="J33" s="291" t="s">
        <v>41</v>
      </c>
      <c r="K33" t="str">
        <f t="shared" si="1"/>
        <v>OK</v>
      </c>
    </row>
    <row r="34" spans="1:11" ht="15" thickBot="1">
      <c r="A34" s="150" t="s">
        <v>42</v>
      </c>
      <c r="B34" s="151"/>
      <c r="C34" s="151"/>
      <c r="D34" s="151"/>
      <c r="E34" s="152"/>
      <c r="F34" s="152"/>
      <c r="G34" s="153"/>
      <c r="H34" s="154"/>
      <c r="I34" s="165">
        <f>SUM(I22:I33)</f>
        <v>131.1</v>
      </c>
      <c r="J34" s="280">
        <f>+I34</f>
        <v>131.1</v>
      </c>
      <c r="K34" s="155" t="str">
        <f>+IF(J34&gt;=120,"ok","no pasa")</f>
        <v>ok</v>
      </c>
    </row>
    <row r="36" ht="15" thickBot="1"/>
    <row r="37" spans="1:23" ht="15" thickBot="1">
      <c r="A37" s="78" t="s">
        <v>89</v>
      </c>
      <c r="B37" s="78"/>
      <c r="C37" s="79"/>
      <c r="D37" s="80" t="s">
        <v>137</v>
      </c>
      <c r="E37" s="80"/>
      <c r="F37" s="81"/>
      <c r="G37" s="82"/>
      <c r="H37" s="83"/>
      <c r="I37" s="85"/>
      <c r="J37" s="84"/>
      <c r="K37" s="86"/>
      <c r="L37" s="8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15" thickBot="1">
      <c r="A38" s="88"/>
      <c r="B38" s="88"/>
      <c r="C38" s="89"/>
      <c r="D38" s="89"/>
      <c r="E38" s="90"/>
      <c r="F38" s="90"/>
      <c r="G38" s="90"/>
      <c r="H38" s="83"/>
      <c r="I38" s="85"/>
      <c r="J38" s="84"/>
      <c r="K38" s="84"/>
      <c r="L38" s="87"/>
      <c r="M38" s="87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ht="15" thickBot="1">
      <c r="A39" s="160" t="s">
        <v>43</v>
      </c>
      <c r="B39" s="161"/>
      <c r="C39" s="161"/>
      <c r="D39" s="161"/>
      <c r="E39" s="162"/>
      <c r="F39" s="163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ht="15">
      <c r="A40" s="156" t="s">
        <v>44</v>
      </c>
      <c r="B40" s="157" t="s">
        <v>45</v>
      </c>
      <c r="C40" s="157" t="s">
        <v>46</v>
      </c>
      <c r="D40" s="158" t="s">
        <v>47</v>
      </c>
      <c r="E40" s="159"/>
      <c r="F40" s="420" t="s">
        <v>48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ht="14.25">
      <c r="A41" s="100" t="s">
        <v>87</v>
      </c>
      <c r="B41" s="101" t="s">
        <v>49</v>
      </c>
      <c r="C41" s="101" t="s">
        <v>50</v>
      </c>
      <c r="D41" s="102" t="s">
        <v>51</v>
      </c>
      <c r="E41" s="103" t="s">
        <v>52</v>
      </c>
      <c r="F41" s="42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23" s="105" customFormat="1" ht="15.75" thickBot="1">
      <c r="A42" s="106">
        <v>201</v>
      </c>
      <c r="B42" s="107" t="s">
        <v>66</v>
      </c>
      <c r="C42" s="108">
        <v>30559</v>
      </c>
      <c r="D42" s="109" t="s">
        <v>138</v>
      </c>
      <c r="E42" s="110">
        <v>30911</v>
      </c>
      <c r="F42" s="111" t="s">
        <v>41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4" ht="15" thickBot="1"/>
    <row r="45" spans="1:13" ht="38.25" customHeight="1">
      <c r="A45" s="70" t="s">
        <v>88</v>
      </c>
      <c r="B45" s="71"/>
      <c r="C45" s="71"/>
      <c r="D45" s="60"/>
      <c r="E45" s="418" t="s">
        <v>54</v>
      </c>
      <c r="F45" s="419"/>
      <c r="G45" s="72" t="s">
        <v>35</v>
      </c>
      <c r="H45" s="60" t="s">
        <v>36</v>
      </c>
      <c r="I45" s="73" t="s">
        <v>37</v>
      </c>
      <c r="J45" s="414" t="s">
        <v>38</v>
      </c>
      <c r="K45" s="73" t="s">
        <v>53</v>
      </c>
      <c r="L45" s="73" t="s">
        <v>69</v>
      </c>
      <c r="M45" s="73" t="s">
        <v>68</v>
      </c>
    </row>
    <row r="46" spans="1:11" ht="23.25" thickBot="1">
      <c r="A46" s="140"/>
      <c r="B46" s="141"/>
      <c r="C46" s="141"/>
      <c r="D46" s="142"/>
      <c r="E46" s="143" t="s">
        <v>39</v>
      </c>
      <c r="F46" s="144" t="s">
        <v>40</v>
      </c>
      <c r="G46" s="145"/>
      <c r="H46" s="146"/>
      <c r="I46" s="147"/>
      <c r="J46" s="422"/>
      <c r="K46" s="113"/>
    </row>
    <row r="47" spans="1:13" s="173" customFormat="1" ht="14.25">
      <c r="A47" s="281">
        <v>208</v>
      </c>
      <c r="B47" s="170"/>
      <c r="C47" s="171"/>
      <c r="D47" s="171"/>
      <c r="E47" s="251">
        <v>32035</v>
      </c>
      <c r="F47" s="251">
        <v>32200</v>
      </c>
      <c r="G47" s="252">
        <v>1</v>
      </c>
      <c r="H47" s="253" t="s">
        <v>67</v>
      </c>
      <c r="I47" s="254">
        <f>ROUND((DAYS360(E47,F47)/30),1)*G47</f>
        <v>5.4</v>
      </c>
      <c r="J47" s="172" t="s">
        <v>41</v>
      </c>
      <c r="M47" s="174">
        <v>1</v>
      </c>
    </row>
    <row r="48" spans="1:13" s="173" customFormat="1" ht="14.25">
      <c r="A48" s="180">
        <v>209</v>
      </c>
      <c r="B48" s="185"/>
      <c r="C48" s="185"/>
      <c r="D48" s="185"/>
      <c r="E48" s="255">
        <v>32204</v>
      </c>
      <c r="F48" s="255">
        <v>32538</v>
      </c>
      <c r="G48" s="186">
        <v>1</v>
      </c>
      <c r="H48" s="181" t="s">
        <v>67</v>
      </c>
      <c r="I48" s="183">
        <f>ROUND((DAYS360(E48,F48)/30),1)*G48</f>
        <v>10.9</v>
      </c>
      <c r="J48" s="179" t="s">
        <v>41</v>
      </c>
      <c r="K48" s="173" t="str">
        <f>+IF(E48&gt;=F47,"OK","TRASLAPO")</f>
        <v>OK</v>
      </c>
      <c r="M48" s="174">
        <v>4</v>
      </c>
    </row>
    <row r="49" spans="1:13" s="292" customFormat="1" ht="14.25">
      <c r="A49" s="293">
        <v>210</v>
      </c>
      <c r="B49" s="312"/>
      <c r="C49" s="313"/>
      <c r="D49" s="313"/>
      <c r="E49" s="294">
        <v>32539</v>
      </c>
      <c r="F49" s="294">
        <v>33268</v>
      </c>
      <c r="G49" s="288">
        <v>1</v>
      </c>
      <c r="H49" s="289" t="s">
        <v>67</v>
      </c>
      <c r="I49" s="290">
        <f>ROUND((DAYS360(E49,F49)/30),1)*G49</f>
        <v>24</v>
      </c>
      <c r="J49" s="314" t="s">
        <v>41</v>
      </c>
      <c r="K49" s="292" t="str">
        <f aca="true" t="shared" si="2" ref="K49:K58">+IF(E49&gt;=F48,"OK","TRASLAPO")</f>
        <v>OK</v>
      </c>
      <c r="M49" s="315">
        <v>2</v>
      </c>
    </row>
    <row r="50" spans="1:13" s="292" customFormat="1" ht="14.25">
      <c r="A50" s="316">
        <v>211</v>
      </c>
      <c r="B50" s="293"/>
      <c r="C50" s="289"/>
      <c r="D50" s="289"/>
      <c r="E50" s="317">
        <v>33269</v>
      </c>
      <c r="F50" s="317">
        <v>33998</v>
      </c>
      <c r="G50" s="318">
        <v>1</v>
      </c>
      <c r="H50" s="293" t="s">
        <v>67</v>
      </c>
      <c r="I50" s="299">
        <f>ROUND((DAYS360(E50,F50)/30),1)*G50</f>
        <v>24</v>
      </c>
      <c r="J50" s="291" t="s">
        <v>41</v>
      </c>
      <c r="K50" s="292" t="str">
        <f t="shared" si="2"/>
        <v>OK</v>
      </c>
      <c r="M50" s="315">
        <v>3</v>
      </c>
    </row>
    <row r="51" spans="1:13" s="292" customFormat="1" ht="14.25">
      <c r="A51" s="319">
        <v>212</v>
      </c>
      <c r="B51" s="312"/>
      <c r="C51" s="313"/>
      <c r="D51" s="313"/>
      <c r="E51" s="317">
        <v>34000</v>
      </c>
      <c r="F51" s="317">
        <v>34332</v>
      </c>
      <c r="G51" s="318">
        <v>1</v>
      </c>
      <c r="H51" s="293" t="s">
        <v>67</v>
      </c>
      <c r="I51" s="299">
        <f aca="true" t="shared" si="3" ref="I51:I58">ROUND((DAYS360(E51,F51)/30),1)*G51</f>
        <v>11</v>
      </c>
      <c r="J51" s="291" t="s">
        <v>41</v>
      </c>
      <c r="K51" s="292" t="str">
        <f t="shared" si="2"/>
        <v>OK</v>
      </c>
      <c r="M51" s="315"/>
    </row>
    <row r="52" spans="1:13" s="173" customFormat="1" ht="14.25">
      <c r="A52" s="175">
        <v>213</v>
      </c>
      <c r="B52" s="176"/>
      <c r="C52" s="177"/>
      <c r="D52" s="177"/>
      <c r="E52" s="178">
        <v>34338</v>
      </c>
      <c r="F52" s="178">
        <v>34451</v>
      </c>
      <c r="G52" s="182">
        <v>1</v>
      </c>
      <c r="H52" s="180" t="s">
        <v>67</v>
      </c>
      <c r="I52" s="183">
        <f t="shared" si="3"/>
        <v>3.8</v>
      </c>
      <c r="J52" s="184" t="s">
        <v>41</v>
      </c>
      <c r="K52" s="173" t="str">
        <f t="shared" si="2"/>
        <v>OK</v>
      </c>
      <c r="M52" s="174"/>
    </row>
    <row r="53" spans="1:13" s="173" customFormat="1" ht="14.25">
      <c r="A53" s="175">
        <v>214</v>
      </c>
      <c r="B53" s="176"/>
      <c r="C53" s="177"/>
      <c r="D53" s="177"/>
      <c r="E53" s="178">
        <v>34454</v>
      </c>
      <c r="F53" s="178">
        <v>34576</v>
      </c>
      <c r="G53" s="182">
        <v>1</v>
      </c>
      <c r="H53" s="180" t="s">
        <v>67</v>
      </c>
      <c r="I53" s="183">
        <f t="shared" si="3"/>
        <v>4</v>
      </c>
      <c r="J53" s="184" t="s">
        <v>41</v>
      </c>
      <c r="K53" s="173" t="str">
        <f t="shared" si="2"/>
        <v>OK</v>
      </c>
      <c r="M53" s="174"/>
    </row>
    <row r="54" spans="1:13" s="173" customFormat="1" ht="14.25">
      <c r="A54" s="175">
        <v>215</v>
      </c>
      <c r="B54" s="176"/>
      <c r="C54" s="177"/>
      <c r="D54" s="177"/>
      <c r="E54" s="178">
        <v>34577</v>
      </c>
      <c r="F54" s="178">
        <v>34757</v>
      </c>
      <c r="G54" s="182">
        <v>1</v>
      </c>
      <c r="H54" s="180" t="s">
        <v>67</v>
      </c>
      <c r="I54" s="183">
        <f t="shared" si="3"/>
        <v>5.9</v>
      </c>
      <c r="J54" s="184" t="s">
        <v>41</v>
      </c>
      <c r="K54" s="173" t="str">
        <f t="shared" si="2"/>
        <v>OK</v>
      </c>
      <c r="M54" s="174"/>
    </row>
    <row r="55" spans="1:13" s="292" customFormat="1" ht="14.25">
      <c r="A55" s="319">
        <v>216</v>
      </c>
      <c r="B55" s="312"/>
      <c r="C55" s="313"/>
      <c r="D55" s="313"/>
      <c r="E55" s="317">
        <v>34819</v>
      </c>
      <c r="F55" s="317">
        <v>35368</v>
      </c>
      <c r="G55" s="318">
        <v>1</v>
      </c>
      <c r="H55" s="293" t="s">
        <v>67</v>
      </c>
      <c r="I55" s="299">
        <f t="shared" si="3"/>
        <v>18</v>
      </c>
      <c r="J55" s="291" t="s">
        <v>41</v>
      </c>
      <c r="K55" s="292" t="str">
        <f t="shared" si="2"/>
        <v>OK</v>
      </c>
      <c r="M55" s="315"/>
    </row>
    <row r="56" spans="1:13" s="173" customFormat="1" ht="14.25">
      <c r="A56" s="175">
        <v>217</v>
      </c>
      <c r="B56" s="176"/>
      <c r="C56" s="177"/>
      <c r="D56" s="177"/>
      <c r="E56" s="178">
        <v>35946</v>
      </c>
      <c r="F56" s="178">
        <v>36508</v>
      </c>
      <c r="G56" s="182">
        <v>1</v>
      </c>
      <c r="H56" s="180" t="s">
        <v>67</v>
      </c>
      <c r="I56" s="183">
        <f t="shared" si="3"/>
        <v>18.5</v>
      </c>
      <c r="J56" s="184" t="s">
        <v>41</v>
      </c>
      <c r="K56" s="173" t="str">
        <f t="shared" si="2"/>
        <v>OK</v>
      </c>
      <c r="M56" s="174"/>
    </row>
    <row r="57" spans="1:13" s="292" customFormat="1" ht="14.25">
      <c r="A57" s="319">
        <v>219</v>
      </c>
      <c r="B57" s="312"/>
      <c r="C57" s="313"/>
      <c r="D57" s="313"/>
      <c r="E57" s="317">
        <v>36513</v>
      </c>
      <c r="F57" s="317">
        <v>37016</v>
      </c>
      <c r="G57" s="318">
        <v>1</v>
      </c>
      <c r="H57" s="293" t="s">
        <v>67</v>
      </c>
      <c r="I57" s="299">
        <f t="shared" si="3"/>
        <v>16.5</v>
      </c>
      <c r="J57" s="291" t="s">
        <v>41</v>
      </c>
      <c r="K57" s="292" t="str">
        <f t="shared" si="2"/>
        <v>OK</v>
      </c>
      <c r="M57" s="315"/>
    </row>
    <row r="58" spans="1:13" s="173" customFormat="1" ht="14.25">
      <c r="A58" s="175">
        <v>221</v>
      </c>
      <c r="B58" s="176"/>
      <c r="C58" s="177"/>
      <c r="D58" s="177"/>
      <c r="E58" s="178">
        <v>38206</v>
      </c>
      <c r="F58" s="178">
        <v>38654</v>
      </c>
      <c r="G58" s="182">
        <v>1</v>
      </c>
      <c r="H58" s="180" t="s">
        <v>67</v>
      </c>
      <c r="I58" s="183">
        <f t="shared" si="3"/>
        <v>14.7</v>
      </c>
      <c r="J58" s="184" t="s">
        <v>41</v>
      </c>
      <c r="K58" s="173" t="str">
        <f t="shared" si="2"/>
        <v>OK</v>
      </c>
      <c r="M58" s="174"/>
    </row>
    <row r="59" spans="1:13" s="173" customFormat="1" ht="14.25">
      <c r="A59" s="175"/>
      <c r="B59" s="176"/>
      <c r="C59" s="177"/>
      <c r="D59" s="177"/>
      <c r="E59" s="257"/>
      <c r="F59" s="257"/>
      <c r="G59" s="182"/>
      <c r="H59" s="180"/>
      <c r="I59" s="183"/>
      <c r="J59" s="179"/>
      <c r="M59" s="174"/>
    </row>
    <row r="60" spans="1:11" ht="15" thickBot="1">
      <c r="A60" s="65" t="s">
        <v>42</v>
      </c>
      <c r="B60" s="66"/>
      <c r="C60" s="66"/>
      <c r="D60" s="66"/>
      <c r="E60" s="67"/>
      <c r="F60" s="67"/>
      <c r="G60" s="68"/>
      <c r="H60" s="66"/>
      <c r="I60" s="166">
        <f>SUM(I47:I59)</f>
        <v>156.7</v>
      </c>
      <c r="J60" s="167">
        <f>SUMIF(J47:J59,"SI",I47:I59)</f>
        <v>156.7</v>
      </c>
      <c r="K60" s="155" t="str">
        <f>+IF(J60&gt;=120,"ok","no pasa")</f>
        <v>ok</v>
      </c>
    </row>
    <row r="62" ht="15" thickBot="1"/>
    <row r="63" spans="1:23" ht="15" thickBot="1">
      <c r="A63" s="78" t="s">
        <v>90</v>
      </c>
      <c r="B63" s="78"/>
      <c r="C63" s="79"/>
      <c r="D63" s="80" t="s">
        <v>139</v>
      </c>
      <c r="E63" s="80"/>
      <c r="F63" s="81"/>
      <c r="G63" s="82"/>
      <c r="H63" s="83"/>
      <c r="I63" s="85"/>
      <c r="J63" s="84"/>
      <c r="K63" s="86"/>
      <c r="L63" s="87"/>
      <c r="M63" s="87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ht="15" thickBot="1">
      <c r="A64" s="88"/>
      <c r="B64" s="88"/>
      <c r="C64" s="89"/>
      <c r="D64" s="89"/>
      <c r="E64" s="90"/>
      <c r="F64" s="90"/>
      <c r="G64" s="90"/>
      <c r="H64" s="83"/>
      <c r="I64" s="85"/>
      <c r="J64" s="84"/>
      <c r="K64" s="84"/>
      <c r="L64" s="87"/>
      <c r="M64" s="87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ht="14.25">
      <c r="A65" s="91" t="s">
        <v>43</v>
      </c>
      <c r="B65" s="92"/>
      <c r="C65" s="92"/>
      <c r="D65" s="92"/>
      <c r="E65" s="93"/>
      <c r="F65" s="94"/>
      <c r="G65" s="95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ht="15">
      <c r="A66" s="96" t="s">
        <v>44</v>
      </c>
      <c r="B66" s="97" t="s">
        <v>45</v>
      </c>
      <c r="C66" s="97" t="s">
        <v>46</v>
      </c>
      <c r="D66" s="98" t="s">
        <v>47</v>
      </c>
      <c r="E66" s="99"/>
      <c r="F66" s="420" t="s">
        <v>48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ht="14.25">
      <c r="A67" s="100" t="s">
        <v>87</v>
      </c>
      <c r="B67" s="101" t="s">
        <v>49</v>
      </c>
      <c r="C67" s="101" t="s">
        <v>50</v>
      </c>
      <c r="D67" s="102" t="s">
        <v>51</v>
      </c>
      <c r="E67" s="103" t="s">
        <v>52</v>
      </c>
      <c r="F67" s="421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s="105" customFormat="1" ht="15.75" thickBot="1">
      <c r="A68" s="106">
        <v>224</v>
      </c>
      <c r="B68" s="107" t="s">
        <v>119</v>
      </c>
      <c r="C68" s="108">
        <v>33419</v>
      </c>
      <c r="D68" s="109" t="s">
        <v>140</v>
      </c>
      <c r="E68" s="110">
        <v>34019</v>
      </c>
      <c r="F68" s="111" t="s">
        <v>41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  <row r="70" ht="15" thickBot="1"/>
    <row r="71" spans="1:11" ht="38.25" customHeight="1">
      <c r="A71" s="70" t="s">
        <v>88</v>
      </c>
      <c r="B71" s="71" t="s">
        <v>56</v>
      </c>
      <c r="C71" s="71" t="s">
        <v>55</v>
      </c>
      <c r="D71" s="60" t="s">
        <v>34</v>
      </c>
      <c r="E71" s="418" t="s">
        <v>54</v>
      </c>
      <c r="F71" s="419"/>
      <c r="G71" s="72" t="s">
        <v>35</v>
      </c>
      <c r="H71" s="60" t="s">
        <v>36</v>
      </c>
      <c r="I71" s="73" t="s">
        <v>37</v>
      </c>
      <c r="J71" s="414" t="s">
        <v>38</v>
      </c>
      <c r="K71" s="73" t="s">
        <v>53</v>
      </c>
    </row>
    <row r="72" spans="1:11" ht="23.25" thickBot="1">
      <c r="A72" s="140"/>
      <c r="B72" s="141"/>
      <c r="C72" s="141"/>
      <c r="D72" s="142"/>
      <c r="E72" s="143" t="s">
        <v>39</v>
      </c>
      <c r="F72" s="144" t="s">
        <v>40</v>
      </c>
      <c r="G72" s="145"/>
      <c r="H72" s="146"/>
      <c r="I72" s="147"/>
      <c r="J72" s="422"/>
      <c r="K72" s="113"/>
    </row>
    <row r="73" spans="1:13" s="292" customFormat="1" ht="22.5">
      <c r="A73" s="297">
        <v>243</v>
      </c>
      <c r="E73" s="298">
        <v>34019</v>
      </c>
      <c r="F73" s="298">
        <v>34514</v>
      </c>
      <c r="G73" s="324">
        <v>1</v>
      </c>
      <c r="H73" s="295" t="s">
        <v>120</v>
      </c>
      <c r="I73" s="326">
        <f>ROUND((DAYS360(E88,F88)/30),2)*G73</f>
        <v>12.77</v>
      </c>
      <c r="J73" s="325" t="s">
        <v>41</v>
      </c>
      <c r="K73" s="308"/>
      <c r="M73" s="292">
        <v>2</v>
      </c>
    </row>
    <row r="74" spans="1:11" s="292" customFormat="1" ht="22.5">
      <c r="A74" s="297">
        <v>242</v>
      </c>
      <c r="B74" s="296"/>
      <c r="C74" s="296"/>
      <c r="D74" s="297"/>
      <c r="E74" s="298">
        <v>34515</v>
      </c>
      <c r="F74" s="298">
        <v>34545</v>
      </c>
      <c r="G74" s="324">
        <v>1</v>
      </c>
      <c r="H74" s="295" t="s">
        <v>141</v>
      </c>
      <c r="I74" s="290">
        <f aca="true" t="shared" si="4" ref="I74:I88">ROUND((DAYS360(E74,F74)/30),1)*G74</f>
        <v>1</v>
      </c>
      <c r="J74" s="325" t="s">
        <v>41</v>
      </c>
      <c r="K74" s="292" t="str">
        <f>+IF(E74&gt;=F73,"OK","TRASLAPO")</f>
        <v>OK</v>
      </c>
    </row>
    <row r="75" spans="1:11" s="292" customFormat="1" ht="22.5">
      <c r="A75" s="297">
        <v>242</v>
      </c>
      <c r="B75" s="296"/>
      <c r="C75" s="296"/>
      <c r="D75" s="297"/>
      <c r="E75" s="298">
        <v>34668</v>
      </c>
      <c r="F75" s="298">
        <v>34956</v>
      </c>
      <c r="G75" s="324">
        <v>1</v>
      </c>
      <c r="H75" s="295" t="s">
        <v>142</v>
      </c>
      <c r="I75" s="290">
        <f t="shared" si="4"/>
        <v>9.5</v>
      </c>
      <c r="J75" s="325" t="s">
        <v>41</v>
      </c>
      <c r="K75" s="292" t="str">
        <f aca="true" t="shared" si="5" ref="K75:K88">+IF(E75&gt;=F74,"OK","TRASLAPO")</f>
        <v>OK</v>
      </c>
    </row>
    <row r="76" spans="1:11" s="173" customFormat="1" ht="14.25">
      <c r="A76" s="258">
        <v>240</v>
      </c>
      <c r="B76" s="259"/>
      <c r="C76" s="259"/>
      <c r="D76" s="258"/>
      <c r="E76" s="282">
        <v>34991</v>
      </c>
      <c r="F76" s="282">
        <v>35240</v>
      </c>
      <c r="G76" s="283">
        <v>1</v>
      </c>
      <c r="H76" s="260" t="s">
        <v>145</v>
      </c>
      <c r="I76" s="256">
        <f>ROUND((DAYS360(E76,F76)/30),1)*G76</f>
        <v>8.2</v>
      </c>
      <c r="J76" s="261" t="s">
        <v>41</v>
      </c>
      <c r="K76" s="173" t="str">
        <f t="shared" si="5"/>
        <v>OK</v>
      </c>
    </row>
    <row r="77" spans="1:11" s="173" customFormat="1" ht="24.75" customHeight="1">
      <c r="A77" s="258">
        <v>241</v>
      </c>
      <c r="B77" s="259"/>
      <c r="C77" s="259"/>
      <c r="D77" s="258"/>
      <c r="E77" s="282">
        <v>35246</v>
      </c>
      <c r="F77" s="282">
        <v>35368</v>
      </c>
      <c r="G77" s="283">
        <v>1</v>
      </c>
      <c r="H77" s="260" t="s">
        <v>144</v>
      </c>
      <c r="I77" s="256">
        <f t="shared" si="4"/>
        <v>4</v>
      </c>
      <c r="J77" s="261" t="s">
        <v>41</v>
      </c>
      <c r="K77" s="173" t="str">
        <f>+IF(E77&gt;=F75,"OK","TRASLAPO")</f>
        <v>OK</v>
      </c>
    </row>
    <row r="78" spans="1:11" s="292" customFormat="1" ht="14.25">
      <c r="A78" s="297">
        <v>239</v>
      </c>
      <c r="B78" s="296"/>
      <c r="C78" s="296"/>
      <c r="D78" s="297"/>
      <c r="E78" s="298">
        <v>35369</v>
      </c>
      <c r="F78" s="298">
        <v>35580</v>
      </c>
      <c r="G78" s="324">
        <v>1</v>
      </c>
      <c r="H78" s="295" t="s">
        <v>145</v>
      </c>
      <c r="I78" s="290">
        <f t="shared" si="4"/>
        <v>7</v>
      </c>
      <c r="J78" s="325" t="s">
        <v>41</v>
      </c>
      <c r="K78" s="292" t="str">
        <f>+IF(E78&gt;=F76,"OK","TRASLAPO")</f>
        <v>OK</v>
      </c>
    </row>
    <row r="79" spans="1:11" s="292" customFormat="1" ht="14.25">
      <c r="A79" s="297">
        <v>239</v>
      </c>
      <c r="B79" s="296"/>
      <c r="C79" s="296"/>
      <c r="D79" s="297"/>
      <c r="E79" s="298">
        <v>35581</v>
      </c>
      <c r="F79" s="298">
        <v>35930</v>
      </c>
      <c r="G79" s="324">
        <v>1</v>
      </c>
      <c r="H79" s="295" t="s">
        <v>145</v>
      </c>
      <c r="I79" s="290">
        <f t="shared" si="4"/>
        <v>11.5</v>
      </c>
      <c r="J79" s="325" t="s">
        <v>41</v>
      </c>
      <c r="K79" s="292" t="str">
        <f t="shared" si="5"/>
        <v>OK</v>
      </c>
    </row>
    <row r="80" spans="1:11" s="292" customFormat="1" ht="14.25">
      <c r="A80" s="297">
        <v>239</v>
      </c>
      <c r="B80" s="296"/>
      <c r="C80" s="296"/>
      <c r="D80" s="297"/>
      <c r="E80" s="298">
        <v>35931</v>
      </c>
      <c r="F80" s="298">
        <v>36089</v>
      </c>
      <c r="G80" s="324">
        <v>1</v>
      </c>
      <c r="H80" s="295" t="s">
        <v>145</v>
      </c>
      <c r="I80" s="290">
        <f t="shared" si="4"/>
        <v>5.2</v>
      </c>
      <c r="J80" s="325" t="s">
        <v>41</v>
      </c>
      <c r="K80" s="292" t="str">
        <f t="shared" si="5"/>
        <v>OK</v>
      </c>
    </row>
    <row r="81" spans="1:11" s="292" customFormat="1" ht="14.25">
      <c r="A81" s="297">
        <v>239</v>
      </c>
      <c r="B81" s="296"/>
      <c r="C81" s="296"/>
      <c r="D81" s="297"/>
      <c r="E81" s="298">
        <v>36090</v>
      </c>
      <c r="F81" s="298">
        <v>36245</v>
      </c>
      <c r="G81" s="324">
        <v>1</v>
      </c>
      <c r="H81" s="295" t="s">
        <v>145</v>
      </c>
      <c r="I81" s="290">
        <f t="shared" si="4"/>
        <v>5.1</v>
      </c>
      <c r="J81" s="325" t="s">
        <v>41</v>
      </c>
      <c r="K81" s="292" t="str">
        <f t="shared" si="5"/>
        <v>OK</v>
      </c>
    </row>
    <row r="82" spans="1:11" s="292" customFormat="1" ht="25.5" customHeight="1">
      <c r="A82" s="297">
        <v>242</v>
      </c>
      <c r="B82" s="296"/>
      <c r="C82" s="296"/>
      <c r="D82" s="297"/>
      <c r="E82" s="298">
        <v>36738</v>
      </c>
      <c r="F82" s="298">
        <v>37179</v>
      </c>
      <c r="G82" s="324">
        <v>1</v>
      </c>
      <c r="H82" s="295" t="s">
        <v>143</v>
      </c>
      <c r="I82" s="290">
        <f>ROUND((DAYS360(E82,F82)/30),1)*G82</f>
        <v>14.5</v>
      </c>
      <c r="J82" s="325" t="s">
        <v>41</v>
      </c>
      <c r="K82" s="292" t="str">
        <f t="shared" si="5"/>
        <v>OK</v>
      </c>
    </row>
    <row r="83" spans="1:11" s="292" customFormat="1" ht="14.25">
      <c r="A83" s="297">
        <v>238</v>
      </c>
      <c r="B83" s="296"/>
      <c r="C83" s="296"/>
      <c r="D83" s="297"/>
      <c r="E83" s="298">
        <v>37225</v>
      </c>
      <c r="F83" s="298">
        <v>37518</v>
      </c>
      <c r="G83" s="324">
        <v>1</v>
      </c>
      <c r="H83" s="295" t="s">
        <v>145</v>
      </c>
      <c r="I83" s="290">
        <f t="shared" si="4"/>
        <v>9.6</v>
      </c>
      <c r="J83" s="325" t="s">
        <v>41</v>
      </c>
      <c r="K83" s="292" t="str">
        <f>+IF(E83&gt;=F81,"OK","TRASLAPO")</f>
        <v>OK</v>
      </c>
    </row>
    <row r="84" spans="1:11" s="173" customFormat="1" ht="24.75" customHeight="1">
      <c r="A84" s="258">
        <v>237</v>
      </c>
      <c r="B84" s="259"/>
      <c r="C84" s="259"/>
      <c r="D84" s="258"/>
      <c r="E84" s="282">
        <v>37783</v>
      </c>
      <c r="F84" s="282">
        <v>37900</v>
      </c>
      <c r="G84" s="283">
        <v>1</v>
      </c>
      <c r="H84" s="260" t="s">
        <v>59</v>
      </c>
      <c r="I84" s="256">
        <f t="shared" si="4"/>
        <v>3.8</v>
      </c>
      <c r="J84" s="261" t="s">
        <v>41</v>
      </c>
      <c r="K84" s="173" t="str">
        <f t="shared" si="5"/>
        <v>OK</v>
      </c>
    </row>
    <row r="85" spans="1:11" s="292" customFormat="1" ht="24.75" customHeight="1">
      <c r="A85" s="297">
        <v>236</v>
      </c>
      <c r="B85" s="296"/>
      <c r="C85" s="296"/>
      <c r="D85" s="297"/>
      <c r="E85" s="298">
        <v>37901</v>
      </c>
      <c r="F85" s="298">
        <v>38197</v>
      </c>
      <c r="G85" s="324">
        <v>1</v>
      </c>
      <c r="H85" s="295" t="s">
        <v>59</v>
      </c>
      <c r="I85" s="290">
        <f t="shared" si="4"/>
        <v>9.7</v>
      </c>
      <c r="J85" s="325" t="s">
        <v>41</v>
      </c>
      <c r="K85" s="292" t="str">
        <f t="shared" si="5"/>
        <v>OK</v>
      </c>
    </row>
    <row r="86" spans="1:11" s="292" customFormat="1" ht="21.75" customHeight="1">
      <c r="A86" s="297">
        <v>235</v>
      </c>
      <c r="B86" s="296"/>
      <c r="C86" s="296"/>
      <c r="D86" s="297"/>
      <c r="E86" s="298">
        <v>38213</v>
      </c>
      <c r="F86" s="298">
        <v>38425</v>
      </c>
      <c r="G86" s="324">
        <v>1</v>
      </c>
      <c r="H86" s="295" t="s">
        <v>59</v>
      </c>
      <c r="I86" s="290">
        <f t="shared" si="4"/>
        <v>7</v>
      </c>
      <c r="J86" s="325" t="s">
        <v>41</v>
      </c>
      <c r="K86" s="292" t="str">
        <f t="shared" si="5"/>
        <v>OK</v>
      </c>
    </row>
    <row r="87" spans="1:11" s="292" customFormat="1" ht="24.75" customHeight="1">
      <c r="A87" s="297">
        <v>234</v>
      </c>
      <c r="B87" s="296"/>
      <c r="C87" s="296"/>
      <c r="D87" s="297"/>
      <c r="E87" s="298">
        <v>38426</v>
      </c>
      <c r="F87" s="298">
        <v>38804</v>
      </c>
      <c r="G87" s="324">
        <v>1</v>
      </c>
      <c r="H87" s="295" t="s">
        <v>59</v>
      </c>
      <c r="I87" s="290">
        <f t="shared" si="4"/>
        <v>12.4</v>
      </c>
      <c r="J87" s="325" t="s">
        <v>41</v>
      </c>
      <c r="K87" s="292" t="str">
        <f>+IF(E87&gt;=F82,"OK","TRASLAPO")</f>
        <v>OK</v>
      </c>
    </row>
    <row r="88" spans="1:11" s="173" customFormat="1" ht="22.5" customHeight="1">
      <c r="A88" s="258">
        <v>233</v>
      </c>
      <c r="B88" s="259"/>
      <c r="C88" s="259"/>
      <c r="D88" s="258"/>
      <c r="E88" s="282">
        <v>38875</v>
      </c>
      <c r="F88" s="282">
        <v>39263</v>
      </c>
      <c r="G88" s="283">
        <v>1</v>
      </c>
      <c r="H88" s="260" t="s">
        <v>59</v>
      </c>
      <c r="I88" s="256">
        <f t="shared" si="4"/>
        <v>12.8</v>
      </c>
      <c r="J88" s="261" t="s">
        <v>41</v>
      </c>
      <c r="K88" s="173" t="str">
        <f t="shared" si="5"/>
        <v>OK</v>
      </c>
    </row>
    <row r="89" spans="1:11" ht="15" thickBot="1">
      <c r="A89" s="65" t="s">
        <v>42</v>
      </c>
      <c r="B89" s="66"/>
      <c r="C89" s="66"/>
      <c r="D89" s="66"/>
      <c r="E89" s="67"/>
      <c r="F89" s="67"/>
      <c r="G89" s="68"/>
      <c r="H89" s="66"/>
      <c r="I89" s="284">
        <f>SUM(I73:I88)</f>
        <v>134.07</v>
      </c>
      <c r="J89" s="274">
        <f>+I89</f>
        <v>134.07</v>
      </c>
      <c r="K89" s="155" t="str">
        <f>+IF(J89&gt;=120,"ok","no pasa")</f>
        <v>ok</v>
      </c>
    </row>
    <row r="91" ht="14.25">
      <c r="F91" s="155"/>
    </row>
  </sheetData>
  <sheetProtection/>
  <mergeCells count="14">
    <mergeCell ref="J20:J21"/>
    <mergeCell ref="F13:F14"/>
    <mergeCell ref="E20:F20"/>
    <mergeCell ref="F66:F67"/>
    <mergeCell ref="E71:F71"/>
    <mergeCell ref="J71:J72"/>
    <mergeCell ref="F40:F41"/>
    <mergeCell ref="E45:F45"/>
    <mergeCell ref="J45:J46"/>
    <mergeCell ref="A7:J7"/>
    <mergeCell ref="A8:J8"/>
    <mergeCell ref="B2:E2"/>
    <mergeCell ref="B3:E3"/>
    <mergeCell ref="B4:E4"/>
  </mergeCells>
  <conditionalFormatting sqref="A89:J89 B68:F68 H50:J59 A71:E71 A63:G64 H63:IU68 F66 B65:G65 B66:E67 A65:A68 I71:K71 A60:J60 A34:I34 B42:F42 A45:E45 A37:G38 H37:IU42 F40 B39:G39 B40:E41 A39:A42 E46:F46 I45:M45 A47:F47 A48 I47:J49 H45:H49 A49:D49 E48:F49 A50:F59 H31:I33 J31:J34 E72:F88 I73:I75 H71:H75 H76:I88 E21:F24 A20:E20 A10:G11 H10:IU17 F13 B12:G12 B13:E14 A12:A17 I20:K20 B15:F17 H20:H25 I22:J25 A25:F33 H26:J30">
    <cfRule type="cellIs" priority="20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B37">
      <selection activeCell="I56" sqref="I56"/>
    </sheetView>
  </sheetViews>
  <sheetFormatPr defaultColWidth="11.19921875" defaultRowHeight="14.25"/>
  <cols>
    <col min="2" max="2" width="16.19921875" style="0" customWidth="1"/>
    <col min="3" max="3" width="14.8984375" style="0" bestFit="1" customWidth="1"/>
    <col min="8" max="9" width="11.796875" style="0" customWidth="1"/>
    <col min="10" max="10" width="12.19921875" style="0" customWidth="1"/>
  </cols>
  <sheetData>
    <row r="1" spans="2:46" s="1" customFormat="1" ht="14.25">
      <c r="B1" s="373" t="s">
        <v>4</v>
      </c>
      <c r="C1" s="374"/>
      <c r="D1" s="374"/>
      <c r="E1" s="374"/>
      <c r="F1" s="200"/>
      <c r="G1" s="201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2:46" s="1" customFormat="1" ht="14.25">
      <c r="B2" s="376" t="s">
        <v>5</v>
      </c>
      <c r="C2" s="377"/>
      <c r="D2" s="377"/>
      <c r="E2" s="377"/>
      <c r="F2" s="202"/>
      <c r="G2" s="203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2:46" s="1" customFormat="1" ht="15" thickBot="1">
      <c r="B3" s="412" t="s">
        <v>71</v>
      </c>
      <c r="C3" s="413"/>
      <c r="D3" s="413"/>
      <c r="E3" s="413"/>
      <c r="F3" s="204"/>
      <c r="G3" s="205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1:44" s="1" customFormat="1" ht="29.25" customHeight="1" thickBot="1">
      <c r="A4" s="426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8"/>
      <c r="M4" s="1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4"/>
      <c r="AM4" s="15"/>
      <c r="AN4" s="15"/>
      <c r="AO4" s="15"/>
      <c r="AP4" s="15"/>
      <c r="AQ4" s="15"/>
      <c r="AR4" s="15"/>
    </row>
    <row r="5" ht="15" thickBot="1"/>
    <row r="6" spans="1:24" ht="15" thickBot="1">
      <c r="A6" s="78" t="s">
        <v>59</v>
      </c>
      <c r="B6" s="78"/>
      <c r="C6" s="79"/>
      <c r="D6" s="80"/>
      <c r="E6" s="80" t="str">
        <f>+'Exp. General del personal'!D10</f>
        <v>NOMBRE: RAFAEL DARIO PEÑA FLORES</v>
      </c>
      <c r="F6" s="81"/>
      <c r="G6" s="82"/>
      <c r="H6" s="83"/>
      <c r="I6" s="83"/>
      <c r="J6" s="85"/>
      <c r="K6" s="84"/>
      <c r="L6" s="86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s="15" customFormat="1" ht="15" thickBot="1">
      <c r="A7" s="208"/>
      <c r="B7" s="208"/>
      <c r="C7" s="209"/>
      <c r="D7" s="210"/>
      <c r="E7" s="210"/>
      <c r="F7" s="211"/>
      <c r="G7" s="211"/>
      <c r="H7" s="212"/>
      <c r="I7" s="212"/>
      <c r="J7" s="213"/>
      <c r="K7" s="214"/>
      <c r="L7" s="215"/>
      <c r="M7" s="214"/>
      <c r="N7" s="214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s="15" customFormat="1" ht="78" customHeight="1" thickBot="1">
      <c r="A8" s="429" t="s">
        <v>93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1"/>
      <c r="M8" s="214"/>
      <c r="N8" s="214"/>
      <c r="O8" s="209"/>
      <c r="P8" s="209"/>
      <c r="Q8" s="209"/>
      <c r="R8" s="209"/>
      <c r="S8" s="209"/>
      <c r="T8" s="209"/>
      <c r="U8" s="209"/>
      <c r="V8" s="209"/>
      <c r="W8" s="209"/>
      <c r="X8" s="209"/>
    </row>
    <row r="9" spans="1:24" s="15" customFormat="1" ht="14.25">
      <c r="A9" s="208"/>
      <c r="B9" s="208"/>
      <c r="C9" s="209"/>
      <c r="D9" s="210"/>
      <c r="E9" s="210"/>
      <c r="F9" s="211"/>
      <c r="G9" s="211"/>
      <c r="H9" s="212"/>
      <c r="I9" s="212"/>
      <c r="J9" s="213"/>
      <c r="K9" s="214"/>
      <c r="L9" s="215"/>
      <c r="M9" s="214"/>
      <c r="N9" s="214"/>
      <c r="O9" s="209"/>
      <c r="P9" s="209"/>
      <c r="Q9" s="209"/>
      <c r="R9" s="209"/>
      <c r="S9" s="209"/>
      <c r="T9" s="209"/>
      <c r="U9" s="209"/>
      <c r="V9" s="209"/>
      <c r="W9" s="209"/>
      <c r="X9" s="209"/>
    </row>
    <row r="10" spans="1:24" ht="14.25">
      <c r="A10" s="88"/>
      <c r="B10" s="88"/>
      <c r="C10" s="89"/>
      <c r="D10" s="89"/>
      <c r="E10" s="90"/>
      <c r="F10" s="90"/>
      <c r="G10" s="90"/>
      <c r="H10" s="83"/>
      <c r="I10" s="83"/>
      <c r="J10" s="85"/>
      <c r="K10" s="84"/>
      <c r="L10" s="84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2" ht="15" thickBot="1"/>
    <row r="13" spans="1:13" ht="36">
      <c r="A13" s="70" t="s">
        <v>88</v>
      </c>
      <c r="B13" s="71" t="s">
        <v>56</v>
      </c>
      <c r="C13" s="71" t="s">
        <v>55</v>
      </c>
      <c r="D13" s="60" t="s">
        <v>34</v>
      </c>
      <c r="E13" s="418" t="s">
        <v>54</v>
      </c>
      <c r="F13" s="419"/>
      <c r="G13" s="72" t="s">
        <v>35</v>
      </c>
      <c r="H13" s="60" t="s">
        <v>36</v>
      </c>
      <c r="I13" s="262" t="s">
        <v>121</v>
      </c>
      <c r="J13" s="206"/>
      <c r="K13" s="414" t="s">
        <v>38</v>
      </c>
      <c r="L13" s="222" t="s">
        <v>98</v>
      </c>
      <c r="M13" s="423" t="s">
        <v>99</v>
      </c>
    </row>
    <row r="14" spans="1:13" ht="41.25" customHeight="1" thickBot="1">
      <c r="A14" s="140"/>
      <c r="B14" s="141"/>
      <c r="C14" s="141"/>
      <c r="D14" s="142"/>
      <c r="E14" s="143" t="s">
        <v>39</v>
      </c>
      <c r="F14" s="144" t="s">
        <v>40</v>
      </c>
      <c r="G14" s="145"/>
      <c r="H14" s="146"/>
      <c r="I14" s="223"/>
      <c r="J14" s="147"/>
      <c r="K14" s="422"/>
      <c r="L14" s="113"/>
      <c r="M14" s="424"/>
    </row>
    <row r="15" spans="1:13" s="292" customFormat="1" ht="14.25">
      <c r="A15" s="300">
        <v>194</v>
      </c>
      <c r="B15" s="301"/>
      <c r="C15" s="301"/>
      <c r="D15" s="302"/>
      <c r="E15" s="303">
        <v>31954</v>
      </c>
      <c r="F15" s="304">
        <v>32486</v>
      </c>
      <c r="G15" s="305">
        <v>1</v>
      </c>
      <c r="H15" s="306" t="s">
        <v>67</v>
      </c>
      <c r="I15" s="307">
        <f>ROUND((DAYS360(E15,F15)/30),1)*G15</f>
        <v>17.4</v>
      </c>
      <c r="K15" s="299" t="s">
        <v>41</v>
      </c>
      <c r="L15" s="292">
        <v>1212</v>
      </c>
      <c r="M15" s="168">
        <f>+IF(L15&gt;=20000,2,IF(L15&gt;=10000,1,0))</f>
        <v>0</v>
      </c>
    </row>
    <row r="16" spans="1:13" s="292" customFormat="1" ht="14.25">
      <c r="A16" s="295">
        <v>195</v>
      </c>
      <c r="B16" s="296"/>
      <c r="C16" s="296"/>
      <c r="D16" s="297"/>
      <c r="E16" s="298">
        <v>33938</v>
      </c>
      <c r="F16" s="298">
        <v>34363</v>
      </c>
      <c r="G16" s="288">
        <v>1</v>
      </c>
      <c r="H16" s="295" t="s">
        <v>67</v>
      </c>
      <c r="I16" s="290">
        <f>ROUND((DAYS360(E16,F16)/30),1)*G16</f>
        <v>14</v>
      </c>
      <c r="K16" s="310" t="s">
        <v>41</v>
      </c>
      <c r="L16" s="311">
        <v>1152</v>
      </c>
      <c r="M16" s="168">
        <f>+IF(L16&gt;=20000,2,IF(L16&gt;=10000,1,0))</f>
        <v>0</v>
      </c>
    </row>
    <row r="17" spans="1:13" s="292" customFormat="1" ht="14.25">
      <c r="A17" s="295">
        <v>193</v>
      </c>
      <c r="B17" s="296"/>
      <c r="C17" s="296"/>
      <c r="D17" s="297"/>
      <c r="E17" s="298">
        <v>35854</v>
      </c>
      <c r="F17" s="298">
        <v>36736</v>
      </c>
      <c r="G17" s="288">
        <v>1</v>
      </c>
      <c r="H17" s="295" t="s">
        <v>67</v>
      </c>
      <c r="I17" s="290">
        <f>ROUND((DAYS360(E17,F17)/30),1)*G17</f>
        <v>29</v>
      </c>
      <c r="K17" s="310" t="s">
        <v>41</v>
      </c>
      <c r="L17" s="311">
        <v>19500</v>
      </c>
      <c r="M17" s="168">
        <f>+IF(L17&gt;=20000,2,IF(L17&gt;=10000,1,0))</f>
        <v>1</v>
      </c>
    </row>
    <row r="18" spans="1:13" s="292" customFormat="1" ht="24">
      <c r="A18" s="293">
        <v>192</v>
      </c>
      <c r="B18" s="293"/>
      <c r="C18" s="289"/>
      <c r="D18" s="289"/>
      <c r="E18" s="294">
        <v>38077</v>
      </c>
      <c r="F18" s="294">
        <v>38366</v>
      </c>
      <c r="G18" s="288">
        <v>1</v>
      </c>
      <c r="H18" s="289" t="s">
        <v>59</v>
      </c>
      <c r="I18" s="290">
        <f>ROUND((DAYS360(E18,F18)/30),1)*G18</f>
        <v>9.5</v>
      </c>
      <c r="K18" s="310" t="s">
        <v>41</v>
      </c>
      <c r="L18" s="311">
        <v>2846</v>
      </c>
      <c r="M18" s="168">
        <f>+IF(L18&gt;=20000,2,IF(L18&gt;=10000,1,0))</f>
        <v>0</v>
      </c>
    </row>
    <row r="19" spans="1:13" s="292" customFormat="1" ht="24">
      <c r="A19" s="293">
        <v>191</v>
      </c>
      <c r="B19" s="293"/>
      <c r="C19" s="289"/>
      <c r="D19" s="289"/>
      <c r="E19" s="294">
        <v>38370</v>
      </c>
      <c r="F19" s="294">
        <v>38987</v>
      </c>
      <c r="G19" s="288">
        <v>1</v>
      </c>
      <c r="H19" s="289" t="s">
        <v>59</v>
      </c>
      <c r="I19" s="290">
        <f>ROUND((DAYS360(E19,F19)/30),1)*G19</f>
        <v>20.3</v>
      </c>
      <c r="K19" s="310" t="s">
        <v>41</v>
      </c>
      <c r="L19" s="311">
        <v>33669.13</v>
      </c>
      <c r="M19" s="168">
        <f>+IF(L19&gt;=20000,2,IF(L19&gt;=10000,1,0))</f>
        <v>2</v>
      </c>
    </row>
    <row r="20" spans="1:13" s="292" customFormat="1" ht="24.75" thickBot="1">
      <c r="A20" s="293">
        <v>190</v>
      </c>
      <c r="B20" s="293"/>
      <c r="C20" s="289"/>
      <c r="D20" s="289"/>
      <c r="E20" s="294">
        <v>38990</v>
      </c>
      <c r="F20" s="294">
        <v>39201</v>
      </c>
      <c r="G20" s="288">
        <v>1</v>
      </c>
      <c r="H20" s="289" t="s">
        <v>59</v>
      </c>
      <c r="I20" s="290">
        <f>ROUND((DAYS360(E20,F20)/30),1)*G20</f>
        <v>7</v>
      </c>
      <c r="K20" s="310" t="s">
        <v>41</v>
      </c>
      <c r="L20" s="311">
        <v>6000</v>
      </c>
      <c r="M20" s="168">
        <f>+IF(L20&gt;=20000,2,IF(L20&gt;=10000,1,0))</f>
        <v>0</v>
      </c>
    </row>
    <row r="21" spans="1:13" ht="15" thickBot="1">
      <c r="A21" s="65" t="s">
        <v>42</v>
      </c>
      <c r="B21" s="66"/>
      <c r="C21" s="66"/>
      <c r="D21" s="66"/>
      <c r="E21" s="67"/>
      <c r="F21" s="67"/>
      <c r="G21" s="68"/>
      <c r="H21" s="66"/>
      <c r="I21" s="309">
        <f>SUM(I15:I20)</f>
        <v>97.2</v>
      </c>
      <c r="J21" s="263">
        <f>+I21</f>
        <v>97.2</v>
      </c>
      <c r="K21" s="216"/>
      <c r="L21" s="272"/>
      <c r="M21" s="272">
        <f>IF(SUM(M16:M20)&gt;=2,2,SUM(M16:M20))</f>
        <v>2</v>
      </c>
    </row>
    <row r="23" ht="15" thickBot="1"/>
    <row r="24" spans="1:24" ht="15" thickBot="1">
      <c r="A24" s="78" t="s">
        <v>89</v>
      </c>
      <c r="B24" s="78"/>
      <c r="C24" s="79"/>
      <c r="D24" s="80" t="str">
        <f>+'Exp. General del personal'!D37</f>
        <v>NOMBRE: VICTOR RAUL RUBIO GAMBOA</v>
      </c>
      <c r="E24" s="80"/>
      <c r="F24" s="81"/>
      <c r="G24" s="82"/>
      <c r="H24" s="83"/>
      <c r="I24" s="83"/>
      <c r="J24" s="85"/>
      <c r="K24" s="84"/>
      <c r="L24" s="86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ht="14.25">
      <c r="A25" s="88"/>
      <c r="B25" s="88"/>
      <c r="C25" s="89"/>
      <c r="D25" s="89"/>
      <c r="E25" s="90"/>
      <c r="F25" s="90"/>
      <c r="G25" s="90"/>
      <c r="H25" s="83"/>
      <c r="I25" s="83"/>
      <c r="J25" s="85"/>
      <c r="K25" s="84"/>
      <c r="L25" s="84"/>
      <c r="M25" s="87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7" ht="15" thickBot="1"/>
    <row r="28" spans="1:12" ht="36">
      <c r="A28" s="70" t="s">
        <v>88</v>
      </c>
      <c r="B28" s="71" t="s">
        <v>56</v>
      </c>
      <c r="C28" s="71" t="s">
        <v>55</v>
      </c>
      <c r="D28" s="60" t="s">
        <v>34</v>
      </c>
      <c r="E28" s="418" t="s">
        <v>54</v>
      </c>
      <c r="F28" s="419"/>
      <c r="G28" s="72" t="s">
        <v>35</v>
      </c>
      <c r="H28" s="60" t="s">
        <v>36</v>
      </c>
      <c r="I28" s="206" t="s">
        <v>94</v>
      </c>
      <c r="J28" s="196" t="s">
        <v>38</v>
      </c>
      <c r="K28" s="222" t="s">
        <v>98</v>
      </c>
      <c r="L28" s="423" t="s">
        <v>104</v>
      </c>
    </row>
    <row r="29" spans="1:12" ht="23.25" thickBot="1">
      <c r="A29" s="74"/>
      <c r="B29" s="75"/>
      <c r="C29" s="75"/>
      <c r="D29" s="76"/>
      <c r="E29" s="61" t="s">
        <v>39</v>
      </c>
      <c r="F29" s="62" t="s">
        <v>40</v>
      </c>
      <c r="G29" s="112"/>
      <c r="H29" s="63"/>
      <c r="I29" s="224"/>
      <c r="J29" s="197"/>
      <c r="K29" s="322"/>
      <c r="L29" s="424"/>
    </row>
    <row r="30" spans="1:13" s="292" customFormat="1" ht="14.25">
      <c r="A30" s="293">
        <v>210</v>
      </c>
      <c r="B30" s="312"/>
      <c r="C30" s="313"/>
      <c r="D30" s="313"/>
      <c r="E30" s="294">
        <v>32539</v>
      </c>
      <c r="F30" s="294">
        <v>33268</v>
      </c>
      <c r="G30" s="288">
        <v>1</v>
      </c>
      <c r="H30" s="289" t="s">
        <v>67</v>
      </c>
      <c r="I30" s="290">
        <f>ROUND((DAYS360(E30,F30)/30),1)*G30</f>
        <v>24</v>
      </c>
      <c r="J30" s="321" t="s">
        <v>41</v>
      </c>
      <c r="K30" s="311">
        <v>22000</v>
      </c>
      <c r="L30" s="168">
        <f>+IF(K30&gt;=10000,2,IF(K30&gt;=5000,1,0))</f>
        <v>2</v>
      </c>
      <c r="M30" s="315"/>
    </row>
    <row r="31" spans="1:13" s="292" customFormat="1" ht="14.25">
      <c r="A31" s="316">
        <v>211</v>
      </c>
      <c r="B31" s="293"/>
      <c r="C31" s="289"/>
      <c r="D31" s="289"/>
      <c r="E31" s="317">
        <v>33269</v>
      </c>
      <c r="F31" s="317">
        <v>33998</v>
      </c>
      <c r="G31" s="318">
        <v>1</v>
      </c>
      <c r="H31" s="293" t="s">
        <v>67</v>
      </c>
      <c r="I31" s="299">
        <f>ROUND((DAYS360(E31,F31)/30),1)*G31</f>
        <v>24</v>
      </c>
      <c r="J31" s="310" t="s">
        <v>41</v>
      </c>
      <c r="K31" s="311">
        <v>12680</v>
      </c>
      <c r="L31" s="168">
        <f>+IF(K31&gt;=10000,2,IF(K31&gt;=5000,1,0))</f>
        <v>2</v>
      </c>
      <c r="M31" s="315"/>
    </row>
    <row r="32" spans="1:13" s="292" customFormat="1" ht="14.25">
      <c r="A32" s="319">
        <v>212</v>
      </c>
      <c r="B32" s="312"/>
      <c r="C32" s="313"/>
      <c r="D32" s="313"/>
      <c r="E32" s="317">
        <v>34000</v>
      </c>
      <c r="F32" s="317">
        <v>34332</v>
      </c>
      <c r="G32" s="318">
        <v>1</v>
      </c>
      <c r="H32" s="293" t="s">
        <v>67</v>
      </c>
      <c r="I32" s="299">
        <f>ROUND((DAYS360(E32,F32)/30),1)*G32</f>
        <v>11</v>
      </c>
      <c r="J32" s="310" t="s">
        <v>41</v>
      </c>
      <c r="K32" s="311">
        <v>5018.79</v>
      </c>
      <c r="L32" s="168">
        <f>+IF(K32&gt;=10000,2,IF(K32&gt;=5000,1,0))</f>
        <v>1</v>
      </c>
      <c r="M32" s="315"/>
    </row>
    <row r="33" spans="1:13" s="292" customFormat="1" ht="14.25">
      <c r="A33" s="319">
        <v>216</v>
      </c>
      <c r="B33" s="312"/>
      <c r="C33" s="313"/>
      <c r="D33" s="313"/>
      <c r="E33" s="317">
        <v>34819</v>
      </c>
      <c r="F33" s="317">
        <v>35368</v>
      </c>
      <c r="G33" s="318">
        <v>1</v>
      </c>
      <c r="H33" s="293" t="s">
        <v>67</v>
      </c>
      <c r="I33" s="299">
        <f>ROUND((DAYS360(E33,F33)/30),1)*G33</f>
        <v>18</v>
      </c>
      <c r="J33" s="310" t="s">
        <v>41</v>
      </c>
      <c r="K33" s="311">
        <v>4077</v>
      </c>
      <c r="L33" s="168">
        <f>+IF(K33&gt;=10000,2,IF(K33&gt;=5000,1,0))</f>
        <v>0</v>
      </c>
      <c r="M33" s="315"/>
    </row>
    <row r="34" spans="1:13" s="292" customFormat="1" ht="15" thickBot="1">
      <c r="A34" s="319">
        <v>219</v>
      </c>
      <c r="B34" s="312"/>
      <c r="C34" s="313"/>
      <c r="D34" s="313"/>
      <c r="E34" s="317">
        <v>36513</v>
      </c>
      <c r="F34" s="317">
        <v>37016</v>
      </c>
      <c r="G34" s="318">
        <v>1</v>
      </c>
      <c r="H34" s="293" t="s">
        <v>67</v>
      </c>
      <c r="I34" s="299">
        <f>ROUND((DAYS360(E34,F34)/30),1)*G34</f>
        <v>16.5</v>
      </c>
      <c r="J34" s="310" t="s">
        <v>41</v>
      </c>
      <c r="K34" s="311">
        <f>5445-4696</f>
        <v>749</v>
      </c>
      <c r="L34" s="168">
        <f>+IF(K34&gt;=10000,2,IF(K34&gt;=5000,1,0))</f>
        <v>0</v>
      </c>
      <c r="M34" s="315"/>
    </row>
    <row r="35" spans="1:12" ht="15" thickBot="1">
      <c r="A35" s="65" t="s">
        <v>42</v>
      </c>
      <c r="B35" s="66"/>
      <c r="C35" s="66"/>
      <c r="D35" s="66"/>
      <c r="E35" s="67"/>
      <c r="F35" s="67"/>
      <c r="G35" s="68"/>
      <c r="H35" s="66"/>
      <c r="I35" s="320">
        <f>SUM(I30:I34)</f>
        <v>93.5</v>
      </c>
      <c r="J35" s="69">
        <f>+I35</f>
        <v>93.5</v>
      </c>
      <c r="K35" s="323" t="s">
        <v>123</v>
      </c>
      <c r="L35" s="168"/>
    </row>
    <row r="36" ht="15" thickBot="1">
      <c r="L36" s="272">
        <f>IF(SUM(L30:L34)&gt;=2,2,SUM(L31:L35))</f>
        <v>2</v>
      </c>
    </row>
    <row r="37" ht="15" thickBot="1"/>
    <row r="38" spans="1:24" ht="15" thickBot="1">
      <c r="A38" s="78" t="s">
        <v>90</v>
      </c>
      <c r="B38" s="78"/>
      <c r="C38" s="79"/>
      <c r="D38" s="80" t="str">
        <f>+'Exp. General del personal'!D63</f>
        <v>NOMBRE: GERMAN EDUARDO BOHORQUEZ</v>
      </c>
      <c r="E38" s="80"/>
      <c r="F38" s="81"/>
      <c r="G38" s="82"/>
      <c r="H38" s="83"/>
      <c r="I38" s="83"/>
      <c r="J38" s="85"/>
      <c r="K38" s="84"/>
      <c r="L38" s="86"/>
      <c r="N38" s="87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4.25">
      <c r="A39" s="88"/>
      <c r="B39" s="88"/>
      <c r="C39" s="89"/>
      <c r="D39" s="89"/>
      <c r="E39" s="90"/>
      <c r="F39" s="90"/>
      <c r="G39" s="90"/>
      <c r="H39" s="83"/>
      <c r="I39" s="83"/>
      <c r="J39" s="85"/>
      <c r="K39" s="84"/>
      <c r="L39" s="84"/>
      <c r="N39" s="87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1" ht="15" thickBot="1"/>
    <row r="42" spans="1:13" ht="36" customHeight="1">
      <c r="A42" s="70" t="s">
        <v>33</v>
      </c>
      <c r="B42" s="71" t="s">
        <v>56</v>
      </c>
      <c r="C42" s="71" t="s">
        <v>55</v>
      </c>
      <c r="D42" s="60" t="s">
        <v>34</v>
      </c>
      <c r="E42" s="418" t="s">
        <v>54</v>
      </c>
      <c r="F42" s="419"/>
      <c r="G42" s="72" t="s">
        <v>35</v>
      </c>
      <c r="H42" s="60" t="s">
        <v>36</v>
      </c>
      <c r="J42" s="206" t="s">
        <v>94</v>
      </c>
      <c r="K42" s="414" t="s">
        <v>38</v>
      </c>
      <c r="L42" s="222" t="s">
        <v>98</v>
      </c>
      <c r="M42" s="423" t="s">
        <v>104</v>
      </c>
    </row>
    <row r="43" spans="1:13" ht="23.25" thickBot="1">
      <c r="A43" s="74"/>
      <c r="B43" s="75"/>
      <c r="C43" s="75"/>
      <c r="D43" s="76"/>
      <c r="E43" s="61" t="s">
        <v>39</v>
      </c>
      <c r="F43" s="62" t="s">
        <v>40</v>
      </c>
      <c r="G43" s="112"/>
      <c r="H43" s="63"/>
      <c r="I43" s="224"/>
      <c r="J43" s="77"/>
      <c r="K43" s="415"/>
      <c r="L43" s="113"/>
      <c r="M43" s="425"/>
    </row>
    <row r="44" spans="1:13" s="292" customFormat="1" ht="22.5">
      <c r="A44" s="297">
        <v>243</v>
      </c>
      <c r="E44" s="298">
        <v>34019</v>
      </c>
      <c r="F44" s="298">
        <v>34514</v>
      </c>
      <c r="G44" s="324">
        <v>1</v>
      </c>
      <c r="H44" s="295" t="s">
        <v>120</v>
      </c>
      <c r="I44" s="326">
        <f>ROUND((DAYS360(E44,F44)/30),2)*G44</f>
        <v>16.33</v>
      </c>
      <c r="K44" s="325" t="s">
        <v>41</v>
      </c>
      <c r="L44" s="292">
        <v>43650</v>
      </c>
      <c r="M44" s="168">
        <f>+IF(L44&gt;=10000,2,IF(L44&gt;=5000,1,0))</f>
        <v>2</v>
      </c>
    </row>
    <row r="45" spans="1:13" s="292" customFormat="1" ht="22.5">
      <c r="A45" s="297">
        <v>242</v>
      </c>
      <c r="B45" s="296"/>
      <c r="C45" s="296"/>
      <c r="D45" s="297"/>
      <c r="E45" s="298">
        <v>34515</v>
      </c>
      <c r="F45" s="298">
        <v>34545</v>
      </c>
      <c r="G45" s="324">
        <v>1</v>
      </c>
      <c r="H45" s="295" t="s">
        <v>141</v>
      </c>
      <c r="I45" s="290">
        <f>ROUND((DAYS360(E45,F45)/30),1)*G45</f>
        <v>1</v>
      </c>
      <c r="K45" s="325" t="s">
        <v>41</v>
      </c>
      <c r="L45" s="311"/>
      <c r="M45" s="168">
        <f aca="true" t="shared" si="0" ref="M45:M55">+IF(L45&gt;=10000,2,IF(L45&gt;=5000,1,0))</f>
        <v>0</v>
      </c>
    </row>
    <row r="46" spans="1:13" s="292" customFormat="1" ht="22.5">
      <c r="A46" s="297">
        <v>242</v>
      </c>
      <c r="B46" s="296"/>
      <c r="C46" s="296"/>
      <c r="D46" s="297"/>
      <c r="E46" s="298">
        <v>34668</v>
      </c>
      <c r="F46" s="298">
        <v>34956</v>
      </c>
      <c r="G46" s="324">
        <v>1</v>
      </c>
      <c r="H46" s="295" t="s">
        <v>142</v>
      </c>
      <c r="I46" s="290">
        <f aca="true" t="shared" si="1" ref="I46:I55">ROUND((DAYS360(E46,F46)/30),1)*G46</f>
        <v>9.5</v>
      </c>
      <c r="K46" s="325" t="s">
        <v>41</v>
      </c>
      <c r="L46" s="311">
        <v>60000</v>
      </c>
      <c r="M46" s="168">
        <f t="shared" si="0"/>
        <v>2</v>
      </c>
    </row>
    <row r="47" spans="1:13" s="292" customFormat="1" ht="14.25">
      <c r="A47" s="297">
        <v>239</v>
      </c>
      <c r="B47" s="296"/>
      <c r="C47" s="296"/>
      <c r="D47" s="297"/>
      <c r="E47" s="298">
        <v>35369</v>
      </c>
      <c r="F47" s="298">
        <v>35580</v>
      </c>
      <c r="G47" s="324">
        <v>1</v>
      </c>
      <c r="H47" s="295" t="s">
        <v>145</v>
      </c>
      <c r="I47" s="290">
        <f t="shared" si="1"/>
        <v>7</v>
      </c>
      <c r="K47" s="325" t="s">
        <v>41</v>
      </c>
      <c r="L47" s="311"/>
      <c r="M47" s="168">
        <f t="shared" si="0"/>
        <v>0</v>
      </c>
    </row>
    <row r="48" spans="1:13" s="292" customFormat="1" ht="14.25">
      <c r="A48" s="297">
        <v>239</v>
      </c>
      <c r="B48" s="296"/>
      <c r="C48" s="296"/>
      <c r="D48" s="297"/>
      <c r="E48" s="298">
        <v>35581</v>
      </c>
      <c r="F48" s="298">
        <v>35930</v>
      </c>
      <c r="G48" s="324">
        <v>1</v>
      </c>
      <c r="H48" s="295" t="s">
        <v>145</v>
      </c>
      <c r="I48" s="290">
        <f t="shared" si="1"/>
        <v>11.5</v>
      </c>
      <c r="K48" s="325" t="s">
        <v>41</v>
      </c>
      <c r="L48" s="311"/>
      <c r="M48" s="168">
        <f t="shared" si="0"/>
        <v>0</v>
      </c>
    </row>
    <row r="49" spans="1:13" s="292" customFormat="1" ht="14.25">
      <c r="A49" s="297">
        <v>239</v>
      </c>
      <c r="B49" s="296"/>
      <c r="C49" s="296"/>
      <c r="D49" s="297"/>
      <c r="E49" s="298">
        <v>35931</v>
      </c>
      <c r="F49" s="298">
        <v>36089</v>
      </c>
      <c r="G49" s="324">
        <v>1</v>
      </c>
      <c r="H49" s="295" t="s">
        <v>145</v>
      </c>
      <c r="I49" s="290">
        <f t="shared" si="1"/>
        <v>5.2</v>
      </c>
      <c r="K49" s="325" t="s">
        <v>41</v>
      </c>
      <c r="L49" s="311"/>
      <c r="M49" s="168">
        <f t="shared" si="0"/>
        <v>0</v>
      </c>
    </row>
    <row r="50" spans="1:13" s="292" customFormat="1" ht="14.25">
      <c r="A50" s="297">
        <v>239</v>
      </c>
      <c r="B50" s="296"/>
      <c r="C50" s="296"/>
      <c r="D50" s="297"/>
      <c r="E50" s="298">
        <v>36090</v>
      </c>
      <c r="F50" s="298">
        <v>36245</v>
      </c>
      <c r="G50" s="324">
        <v>1</v>
      </c>
      <c r="H50" s="295" t="s">
        <v>145</v>
      </c>
      <c r="I50" s="290">
        <f t="shared" si="1"/>
        <v>5.1</v>
      </c>
      <c r="K50" s="325" t="s">
        <v>41</v>
      </c>
      <c r="L50" s="311"/>
      <c r="M50" s="168">
        <f t="shared" si="0"/>
        <v>0</v>
      </c>
    </row>
    <row r="51" spans="1:13" s="292" customFormat="1" ht="25.5" customHeight="1">
      <c r="A51" s="297">
        <v>242</v>
      </c>
      <c r="B51" s="296"/>
      <c r="C51" s="296"/>
      <c r="D51" s="297"/>
      <c r="E51" s="298">
        <v>36738</v>
      </c>
      <c r="F51" s="298">
        <v>37179</v>
      </c>
      <c r="G51" s="324">
        <v>1</v>
      </c>
      <c r="H51" s="295" t="s">
        <v>143</v>
      </c>
      <c r="I51" s="290">
        <f>ROUND((DAYS360(E51,F51)/30),1)*G51</f>
        <v>14.5</v>
      </c>
      <c r="K51" s="325" t="s">
        <v>41</v>
      </c>
      <c r="L51" s="311"/>
      <c r="M51" s="168">
        <f t="shared" si="0"/>
        <v>0</v>
      </c>
    </row>
    <row r="52" spans="1:13" s="292" customFormat="1" ht="14.25">
      <c r="A52" s="297">
        <v>238</v>
      </c>
      <c r="B52" s="296"/>
      <c r="C52" s="296"/>
      <c r="D52" s="297"/>
      <c r="E52" s="298">
        <v>37225</v>
      </c>
      <c r="F52" s="298">
        <v>37518</v>
      </c>
      <c r="G52" s="324">
        <v>1</v>
      </c>
      <c r="H52" s="295" t="s">
        <v>145</v>
      </c>
      <c r="I52" s="290">
        <f t="shared" si="1"/>
        <v>9.6</v>
      </c>
      <c r="K52" s="325" t="s">
        <v>41</v>
      </c>
      <c r="L52" s="311"/>
      <c r="M52" s="168">
        <f t="shared" si="0"/>
        <v>0</v>
      </c>
    </row>
    <row r="53" spans="1:13" s="292" customFormat="1" ht="24.75" customHeight="1">
      <c r="A53" s="297">
        <v>236</v>
      </c>
      <c r="B53" s="296"/>
      <c r="C53" s="296"/>
      <c r="D53" s="297"/>
      <c r="E53" s="298">
        <v>37901</v>
      </c>
      <c r="F53" s="298">
        <v>38197</v>
      </c>
      <c r="G53" s="324">
        <v>1</v>
      </c>
      <c r="H53" s="295" t="s">
        <v>59</v>
      </c>
      <c r="I53" s="290">
        <f t="shared" si="1"/>
        <v>9.7</v>
      </c>
      <c r="K53" s="325" t="s">
        <v>41</v>
      </c>
      <c r="L53" s="311"/>
      <c r="M53" s="168">
        <f t="shared" si="0"/>
        <v>0</v>
      </c>
    </row>
    <row r="54" spans="1:13" s="292" customFormat="1" ht="21.75" customHeight="1">
      <c r="A54" s="297">
        <v>235</v>
      </c>
      <c r="B54" s="296"/>
      <c r="C54" s="296"/>
      <c r="D54" s="297"/>
      <c r="E54" s="298">
        <v>38213</v>
      </c>
      <c r="F54" s="298">
        <v>38425</v>
      </c>
      <c r="G54" s="324">
        <v>1</v>
      </c>
      <c r="H54" s="295" t="s">
        <v>59</v>
      </c>
      <c r="I54" s="290">
        <f t="shared" si="1"/>
        <v>7</v>
      </c>
      <c r="K54" s="325" t="s">
        <v>41</v>
      </c>
      <c r="L54" s="311"/>
      <c r="M54" s="168">
        <f t="shared" si="0"/>
        <v>0</v>
      </c>
    </row>
    <row r="55" spans="1:13" s="292" customFormat="1" ht="24.75" customHeight="1" thickBot="1">
      <c r="A55" s="297">
        <v>234</v>
      </c>
      <c r="B55" s="296"/>
      <c r="C55" s="296"/>
      <c r="D55" s="297"/>
      <c r="E55" s="298">
        <v>38426</v>
      </c>
      <c r="F55" s="298">
        <v>38804</v>
      </c>
      <c r="G55" s="324">
        <v>1</v>
      </c>
      <c r="H55" s="295" t="s">
        <v>59</v>
      </c>
      <c r="I55" s="290">
        <f t="shared" si="1"/>
        <v>12.4</v>
      </c>
      <c r="K55" s="325" t="s">
        <v>41</v>
      </c>
      <c r="L55" s="311"/>
      <c r="M55" s="168">
        <f t="shared" si="0"/>
        <v>0</v>
      </c>
    </row>
    <row r="56" spans="1:13" ht="15" thickBot="1">
      <c r="A56" s="65" t="s">
        <v>42</v>
      </c>
      <c r="B56" s="66"/>
      <c r="C56" s="66"/>
      <c r="D56" s="66"/>
      <c r="E56" s="67"/>
      <c r="F56" s="67"/>
      <c r="G56" s="68"/>
      <c r="H56" s="66"/>
      <c r="I56" s="273">
        <f>SUM(I44:I55)</f>
        <v>108.83</v>
      </c>
      <c r="J56" s="165"/>
      <c r="K56" s="274">
        <f>+I56</f>
        <v>108.83</v>
      </c>
      <c r="L56" s="262" t="s">
        <v>123</v>
      </c>
      <c r="M56" s="272">
        <f>IF(SUM(M44:M55)&gt;=2,2,SUM(M44:M55))</f>
        <v>2</v>
      </c>
    </row>
    <row r="58" ht="15" thickBot="1">
      <c r="E58" s="155"/>
    </row>
    <row r="59" ht="15" thickBot="1">
      <c r="M59" s="207"/>
    </row>
  </sheetData>
  <sheetProtection/>
  <mergeCells count="13">
    <mergeCell ref="A4:L4"/>
    <mergeCell ref="E13:F13"/>
    <mergeCell ref="K13:K14"/>
    <mergeCell ref="B1:E1"/>
    <mergeCell ref="B2:E2"/>
    <mergeCell ref="B3:E3"/>
    <mergeCell ref="A8:L8"/>
    <mergeCell ref="M13:M14"/>
    <mergeCell ref="L28:L29"/>
    <mergeCell ref="M42:M43"/>
    <mergeCell ref="E28:F28"/>
    <mergeCell ref="E42:F42"/>
    <mergeCell ref="K42:K43"/>
  </mergeCells>
  <conditionalFormatting sqref="A56:K56 J28:K28 H42:H55 I43:I55 A42:E42 A38:L39 N38:IV39 A24:IV25 A28:E28 H28:I34 E29:F34 A21:J21 J42:L42 J13:L13 B9:L10 A13:E13 E14:F16 A6:A10 M6:IV10 B6:L7 H13:H20 I14:I20 H15:I20 K15:K20 A15:F20 A30:J35 E43:F55 H44:I55">
    <cfRule type="cellIs" priority="29" dxfId="2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zoomScale="73" zoomScaleNormal="73" zoomScalePageLayoutView="0" workbookViewId="0" topLeftCell="A37">
      <selection activeCell="G53" sqref="G53"/>
    </sheetView>
  </sheetViews>
  <sheetFormatPr defaultColWidth="11.19921875" defaultRowHeight="14.25"/>
  <cols>
    <col min="1" max="1" width="23.69921875" style="15" bestFit="1" customWidth="1"/>
    <col min="2" max="2" width="14" style="15" customWidth="1"/>
    <col min="3" max="3" width="12.19921875" style="15" customWidth="1"/>
    <col min="4" max="4" width="12.796875" style="15" customWidth="1"/>
    <col min="5" max="5" width="18" style="15" customWidth="1"/>
    <col min="6" max="6" width="16.796875" style="15" bestFit="1" customWidth="1"/>
    <col min="7" max="7" width="13.3984375" style="15" customWidth="1"/>
    <col min="8" max="16384" width="11.19921875" style="15" customWidth="1"/>
  </cols>
  <sheetData>
    <row r="1" spans="2:45" s="1" customFormat="1" ht="14.25">
      <c r="B1" s="373" t="s">
        <v>4</v>
      </c>
      <c r="C1" s="374"/>
      <c r="D1" s="374"/>
      <c r="E1" s="374"/>
      <c r="F1" s="200"/>
      <c r="G1" s="201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 t="s">
        <v>6</v>
      </c>
      <c r="AR1" s="10"/>
      <c r="AS1" s="11"/>
    </row>
    <row r="2" spans="2:45" s="1" customFormat="1" ht="14.25">
      <c r="B2" s="376" t="s">
        <v>5</v>
      </c>
      <c r="C2" s="377"/>
      <c r="D2" s="377"/>
      <c r="E2" s="377"/>
      <c r="F2" s="202"/>
      <c r="G2" s="203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1</v>
      </c>
      <c r="AR2" s="10"/>
      <c r="AS2" s="11"/>
    </row>
    <row r="3" spans="2:45" s="1" customFormat="1" ht="15" thickBot="1">
      <c r="B3" s="412" t="s">
        <v>71</v>
      </c>
      <c r="C3" s="413"/>
      <c r="D3" s="413"/>
      <c r="E3" s="413"/>
      <c r="F3" s="204"/>
      <c r="G3" s="205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3" s="1" customFormat="1" ht="29.25" customHeight="1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1"/>
      <c r="L4" s="15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/>
      <c r="AL4" s="15"/>
      <c r="AM4" s="15"/>
      <c r="AN4" s="15"/>
      <c r="AO4" s="15"/>
      <c r="AP4" s="15"/>
      <c r="AQ4" s="15"/>
    </row>
    <row r="5" spans="1:43" s="1" customFormat="1" ht="14.25">
      <c r="A5" s="16"/>
      <c r="B5" s="25"/>
      <c r="C5" s="45"/>
      <c r="D5" s="45"/>
      <c r="E5" s="45"/>
      <c r="F5" s="45"/>
      <c r="G5" s="45"/>
      <c r="H5" s="45"/>
      <c r="I5" s="45"/>
      <c r="J5" s="45"/>
      <c r="K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  <c r="AL5" s="15"/>
      <c r="AM5" s="15"/>
      <c r="AN5" s="15"/>
      <c r="AO5" s="15"/>
      <c r="AP5" s="15"/>
      <c r="AQ5" s="15"/>
    </row>
    <row r="6" spans="1:43" s="1" customFormat="1" ht="14.25">
      <c r="A6" s="16"/>
      <c r="B6" s="25"/>
      <c r="C6" s="45"/>
      <c r="D6" s="45"/>
      <c r="E6" s="45"/>
      <c r="F6" s="45"/>
      <c r="G6" s="45"/>
      <c r="H6" s="45"/>
      <c r="I6" s="45"/>
      <c r="J6" s="45"/>
      <c r="K6" s="46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  <c r="AL6" s="15"/>
      <c r="AM6" s="15"/>
      <c r="AN6" s="15"/>
      <c r="AO6" s="15"/>
      <c r="AP6" s="15"/>
      <c r="AQ6" s="15"/>
    </row>
    <row r="7" spans="1:43" s="1" customFormat="1" ht="14.25">
      <c r="A7" s="48" t="s">
        <v>95</v>
      </c>
      <c r="B7" s="18" t="str">
        <f>+'Exp. como constructor'!E11</f>
        <v>CONSORCIO CANAAN-CONTEIN-AMP</v>
      </c>
      <c r="C7" s="19"/>
      <c r="D7" s="20"/>
      <c r="E7" s="21"/>
      <c r="F7" s="21"/>
      <c r="G7" s="21"/>
      <c r="H7" s="21"/>
      <c r="I7" s="21"/>
      <c r="J7" s="21"/>
      <c r="K7" s="49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4"/>
      <c r="AL7" s="15"/>
      <c r="AM7" s="15"/>
      <c r="AN7" s="15"/>
      <c r="AO7" s="15"/>
      <c r="AP7" s="15"/>
      <c r="AQ7" s="15"/>
    </row>
    <row r="8" spans="1:43" s="1" customFormat="1" ht="14.25">
      <c r="A8" s="50"/>
      <c r="B8" s="18"/>
      <c r="C8" s="19"/>
      <c r="D8" s="7"/>
      <c r="E8" s="45"/>
      <c r="F8" s="7"/>
      <c r="G8" s="7"/>
      <c r="H8" s="7"/>
      <c r="I8" s="7"/>
      <c r="J8" s="7"/>
      <c r="K8" s="13"/>
      <c r="L8" s="1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15"/>
      <c r="AM8" s="15"/>
      <c r="AN8" s="15"/>
      <c r="AO8" s="15"/>
      <c r="AP8" s="15"/>
      <c r="AQ8" s="15"/>
    </row>
    <row r="9" spans="1:43" s="1" customFormat="1" ht="14.25">
      <c r="A9" s="6"/>
      <c r="B9" s="3"/>
      <c r="C9" s="7"/>
      <c r="D9" s="4"/>
      <c r="E9" s="7"/>
      <c r="F9" s="7"/>
      <c r="G9" s="7"/>
      <c r="H9" s="7"/>
      <c r="I9" s="7"/>
      <c r="J9" s="7"/>
      <c r="K9" s="1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15"/>
      <c r="AM9" s="15"/>
      <c r="AN9" s="15"/>
      <c r="AO9" s="15"/>
      <c r="AP9" s="15"/>
      <c r="AQ9" s="15"/>
    </row>
    <row r="10" spans="1:11" ht="14.25">
      <c r="A10" s="119"/>
      <c r="B10" s="39"/>
      <c r="C10" s="39"/>
      <c r="D10" s="39"/>
      <c r="E10" s="39"/>
      <c r="F10" s="39"/>
      <c r="G10" s="39"/>
      <c r="H10" s="38"/>
      <c r="I10" s="38"/>
      <c r="J10" s="38"/>
      <c r="K10" s="53"/>
    </row>
    <row r="11" spans="1:11" ht="14.25">
      <c r="A11" s="434" t="s">
        <v>32</v>
      </c>
      <c r="B11" s="435"/>
      <c r="C11" s="435"/>
      <c r="D11" s="435"/>
      <c r="E11" s="435"/>
      <c r="F11" s="38"/>
      <c r="G11" s="38"/>
      <c r="H11" s="38"/>
      <c r="I11" s="38"/>
      <c r="J11" s="38"/>
      <c r="K11" s="53"/>
    </row>
    <row r="12" spans="1:11" ht="15" thickBot="1">
      <c r="A12" s="123"/>
      <c r="B12" s="120"/>
      <c r="C12" s="120"/>
      <c r="D12" s="120"/>
      <c r="E12" s="120"/>
      <c r="F12" s="38"/>
      <c r="G12" s="38"/>
      <c r="H12" s="38"/>
      <c r="I12" s="38"/>
      <c r="J12" s="38"/>
      <c r="K12" s="53"/>
    </row>
    <row r="13" spans="1:11" ht="48.75" customHeight="1" thickBot="1">
      <c r="A13" s="125" t="s">
        <v>27</v>
      </c>
      <c r="B13" s="436" t="s">
        <v>28</v>
      </c>
      <c r="C13" s="437"/>
      <c r="D13" s="126" t="s">
        <v>29</v>
      </c>
      <c r="E13" s="14"/>
      <c r="F13" s="38"/>
      <c r="G13" s="38"/>
      <c r="H13" s="38"/>
      <c r="I13" s="38"/>
      <c r="J13" s="38"/>
      <c r="K13" s="53"/>
    </row>
    <row r="14" spans="1:11" ht="14.25">
      <c r="A14" s="127" t="s">
        <v>59</v>
      </c>
      <c r="B14" s="442">
        <f>+'Exp. General del personal'!J34</f>
        <v>131.1</v>
      </c>
      <c r="C14" s="442"/>
      <c r="D14" s="128" t="str">
        <f>+IF(B14&gt;=120,"CUMPLE","NO CUMPLE")</f>
        <v>CUMPLE</v>
      </c>
      <c r="E14" s="14"/>
      <c r="F14" s="38"/>
      <c r="G14" s="38"/>
      <c r="H14" s="38"/>
      <c r="I14" s="38"/>
      <c r="J14" s="38"/>
      <c r="K14" s="53"/>
    </row>
    <row r="15" spans="1:11" ht="45" customHeight="1">
      <c r="A15" s="129" t="s">
        <v>108</v>
      </c>
      <c r="B15" s="438">
        <f>+'Exp. General del personal'!J60</f>
        <v>156.7</v>
      </c>
      <c r="C15" s="438"/>
      <c r="D15" s="130" t="str">
        <f>+IF(B15&gt;=120,"CUMPLE","NO CUMPLE")</f>
        <v>CUMPLE</v>
      </c>
      <c r="E15" s="14"/>
      <c r="F15" s="38"/>
      <c r="G15" s="38"/>
      <c r="H15" s="38"/>
      <c r="I15" s="38"/>
      <c r="J15" s="38"/>
      <c r="K15" s="53"/>
    </row>
    <row r="16" spans="1:11" ht="15" thickBot="1">
      <c r="A16" s="131" t="s">
        <v>109</v>
      </c>
      <c r="B16" s="440">
        <f>+'Exp. General del personal'!I89</f>
        <v>134.07</v>
      </c>
      <c r="C16" s="440"/>
      <c r="D16" s="132" t="str">
        <f>+IF(B16&gt;=120,"CUMPLE","NO CUMPLE")</f>
        <v>CUMPLE</v>
      </c>
      <c r="E16" s="14"/>
      <c r="F16" s="38"/>
      <c r="G16" s="38"/>
      <c r="H16" s="38"/>
      <c r="I16" s="38"/>
      <c r="J16" s="38"/>
      <c r="K16" s="53"/>
    </row>
    <row r="17" spans="1:11" ht="15" thickBot="1">
      <c r="A17" s="54"/>
      <c r="B17" s="38"/>
      <c r="C17" s="38"/>
      <c r="D17" s="14"/>
      <c r="E17" s="14"/>
      <c r="F17" s="38"/>
      <c r="G17" s="38"/>
      <c r="H17" s="38"/>
      <c r="I17" s="38"/>
      <c r="J17" s="38"/>
      <c r="K17" s="53"/>
    </row>
    <row r="18" spans="1:11" ht="42.75" customHeight="1" thickBot="1">
      <c r="A18" s="125" t="s">
        <v>27</v>
      </c>
      <c r="B18" s="441" t="s">
        <v>61</v>
      </c>
      <c r="C18" s="441"/>
      <c r="D18" s="126" t="s">
        <v>29</v>
      </c>
      <c r="E18" s="14"/>
      <c r="F18" s="38"/>
      <c r="G18" s="38"/>
      <c r="H18" s="38"/>
      <c r="I18" s="38"/>
      <c r="J18" s="38"/>
      <c r="K18" s="53"/>
    </row>
    <row r="19" spans="1:11" ht="14.25">
      <c r="A19" s="127" t="s">
        <v>59</v>
      </c>
      <c r="B19" s="442">
        <f>+'Exp. Especifica del personal'!J21</f>
        <v>97.2</v>
      </c>
      <c r="C19" s="442"/>
      <c r="D19" s="128" t="str">
        <f>+IF(B19&gt;=60,"CUMPLE","NO CUMPLE")</f>
        <v>CUMPLE</v>
      </c>
      <c r="E19" s="14"/>
      <c r="F19" s="38"/>
      <c r="G19" s="38"/>
      <c r="H19" s="38"/>
      <c r="I19" s="38"/>
      <c r="J19" s="38"/>
      <c r="K19" s="53"/>
    </row>
    <row r="20" spans="1:11" ht="45" customHeight="1">
      <c r="A20" s="129" t="s">
        <v>108</v>
      </c>
      <c r="B20" s="438">
        <f>+'Exp. Especifica del personal'!J35</f>
        <v>93.5</v>
      </c>
      <c r="C20" s="438"/>
      <c r="D20" s="130" t="str">
        <f>+IF(B20&gt;=60,"CUMPLE","NO CUMPLE")</f>
        <v>CUMPLE</v>
      </c>
      <c r="E20" s="14"/>
      <c r="F20" s="38"/>
      <c r="G20" s="38"/>
      <c r="H20" s="38"/>
      <c r="I20" s="38"/>
      <c r="J20" s="38"/>
      <c r="K20" s="53"/>
    </row>
    <row r="21" spans="1:11" ht="15" thickBot="1">
      <c r="A21" s="131" t="s">
        <v>109</v>
      </c>
      <c r="B21" s="439">
        <f>+'Exp. Especifica del personal'!K56</f>
        <v>108.83</v>
      </c>
      <c r="C21" s="439"/>
      <c r="D21" s="132" t="str">
        <f>+IF(B21&gt;=60,"CUMPLE","NO CUMPLE")</f>
        <v>CUMPLE</v>
      </c>
      <c r="E21" s="14"/>
      <c r="F21" s="38"/>
      <c r="G21" s="38"/>
      <c r="H21" s="38"/>
      <c r="I21" s="38"/>
      <c r="J21" s="38"/>
      <c r="K21" s="38"/>
    </row>
    <row r="22" spans="1:11" ht="14.25">
      <c r="A22" s="54"/>
      <c r="B22" s="38"/>
      <c r="C22" s="38"/>
      <c r="F22" s="38"/>
      <c r="G22" s="38"/>
      <c r="H22" s="38"/>
      <c r="I22" s="38"/>
      <c r="J22" s="38"/>
      <c r="K22" s="53"/>
    </row>
    <row r="23" spans="8:11" ht="14.25" customHeight="1">
      <c r="H23" s="14"/>
      <c r="I23" s="14"/>
      <c r="J23" s="14"/>
      <c r="K23" s="57"/>
    </row>
    <row r="24" spans="1:11" ht="15">
      <c r="A24" s="58"/>
      <c r="B24" s="40"/>
      <c r="C24" s="41"/>
      <c r="D24" s="42"/>
      <c r="E24" s="121"/>
      <c r="F24" s="121"/>
      <c r="H24" s="14"/>
      <c r="I24" s="14"/>
      <c r="J24" s="14"/>
      <c r="K24" s="57"/>
    </row>
    <row r="25" spans="1:11" ht="15.75" thickBot="1">
      <c r="A25" s="58"/>
      <c r="B25" s="40"/>
      <c r="C25" s="41"/>
      <c r="D25" s="42"/>
      <c r="E25" s="121"/>
      <c r="F25" s="121"/>
      <c r="H25" s="14"/>
      <c r="I25" s="14"/>
      <c r="J25" s="14"/>
      <c r="K25" s="57"/>
    </row>
    <row r="26" spans="1:13" ht="15" customHeight="1" thickBot="1">
      <c r="A26" s="443" t="s">
        <v>100</v>
      </c>
      <c r="B26" s="444"/>
      <c r="C26" s="444"/>
      <c r="D26" s="444"/>
      <c r="E26" s="445"/>
      <c r="F26" s="55"/>
      <c r="H26" s="14"/>
      <c r="I26" s="14"/>
      <c r="J26" s="14"/>
      <c r="K26" s="57"/>
      <c r="M26" s="122"/>
    </row>
    <row r="27" spans="1:13" ht="15" customHeight="1">
      <c r="A27" s="192"/>
      <c r="B27" s="193"/>
      <c r="C27" s="193"/>
      <c r="D27" s="193"/>
      <c r="E27" s="195"/>
      <c r="F27" s="55"/>
      <c r="H27" s="14"/>
      <c r="I27" s="14"/>
      <c r="J27" s="14"/>
      <c r="K27" s="57"/>
      <c r="M27" s="122"/>
    </row>
    <row r="28" spans="1:13" ht="15" customHeight="1" thickBot="1">
      <c r="A28" s="194"/>
      <c r="B28" s="195"/>
      <c r="C28" s="195"/>
      <c r="D28" s="195"/>
      <c r="E28" s="195"/>
      <c r="F28" s="55"/>
      <c r="H28" s="14"/>
      <c r="I28" s="14"/>
      <c r="J28" s="14"/>
      <c r="K28" s="57"/>
      <c r="M28" s="122"/>
    </row>
    <row r="29" spans="1:11" s="37" customFormat="1" ht="75" customHeight="1">
      <c r="A29" s="124" t="s">
        <v>27</v>
      </c>
      <c r="B29" s="226" t="s">
        <v>101</v>
      </c>
      <c r="C29" s="133" t="s">
        <v>62</v>
      </c>
      <c r="E29" s="121"/>
      <c r="F29" s="121"/>
      <c r="H29" s="55"/>
      <c r="I29" s="55"/>
      <c r="J29" s="55"/>
      <c r="K29" s="56"/>
    </row>
    <row r="30" spans="1:11" ht="15" thickBot="1">
      <c r="A30" s="131" t="s">
        <v>59</v>
      </c>
      <c r="B30" s="227">
        <f>+'Exp. Especifica del personal'!M21</f>
        <v>2</v>
      </c>
      <c r="C30" s="228">
        <f>+IF(B30&gt;=2,80,IF(B30&gt;=1,40,0))</f>
        <v>80</v>
      </c>
      <c r="E30" s="40"/>
      <c r="F30" s="121"/>
      <c r="H30" s="14"/>
      <c r="I30" s="14"/>
      <c r="J30" s="14"/>
      <c r="K30" s="57"/>
    </row>
    <row r="31" spans="1:11" ht="14.25">
      <c r="A31" s="189"/>
      <c r="B31" s="40"/>
      <c r="C31" s="221"/>
      <c r="D31" s="14"/>
      <c r="E31" s="40"/>
      <c r="F31" s="121"/>
      <c r="H31" s="14"/>
      <c r="I31" s="14"/>
      <c r="J31" s="14"/>
      <c r="K31" s="57"/>
    </row>
    <row r="32" spans="1:11" ht="28.5" customHeight="1" thickBot="1">
      <c r="A32" s="189"/>
      <c r="B32" s="40"/>
      <c r="C32" s="221"/>
      <c r="D32" s="14"/>
      <c r="E32" s="40"/>
      <c r="F32" s="121"/>
      <c r="H32" s="14"/>
      <c r="I32" s="14"/>
      <c r="J32" s="14"/>
      <c r="K32" s="57"/>
    </row>
    <row r="33" spans="1:11" ht="71.25">
      <c r="A33" s="124" t="s">
        <v>27</v>
      </c>
      <c r="B33" s="226" t="s">
        <v>103</v>
      </c>
      <c r="C33" s="133" t="s">
        <v>62</v>
      </c>
      <c r="D33" s="14"/>
      <c r="E33" s="40"/>
      <c r="F33" s="121"/>
      <c r="H33" s="14"/>
      <c r="I33" s="14"/>
      <c r="J33" s="14"/>
      <c r="K33" s="57"/>
    </row>
    <row r="34" spans="1:13" ht="43.5" customHeight="1" thickBot="1">
      <c r="A34" s="229" t="s">
        <v>102</v>
      </c>
      <c r="B34" s="230">
        <f>+'Exp. Especifica del personal'!L36</f>
        <v>2</v>
      </c>
      <c r="C34" s="231">
        <f>IF(B34&gt;=2,60,IF(B34&gt;=1,30,0))</f>
        <v>60</v>
      </c>
      <c r="E34" s="121"/>
      <c r="F34" s="121"/>
      <c r="H34" s="14"/>
      <c r="I34" s="14"/>
      <c r="J34" s="14"/>
      <c r="K34" s="57"/>
      <c r="M34" s="122"/>
    </row>
    <row r="35" spans="1:13" ht="43.5" customHeight="1" thickBot="1">
      <c r="A35" s="189"/>
      <c r="B35" s="40"/>
      <c r="C35" s="42"/>
      <c r="E35" s="121"/>
      <c r="F35" s="121"/>
      <c r="H35" s="14"/>
      <c r="I35" s="14"/>
      <c r="J35" s="14"/>
      <c r="K35" s="57"/>
      <c r="M35" s="122"/>
    </row>
    <row r="36" spans="1:13" ht="110.25" customHeight="1">
      <c r="A36" s="124" t="s">
        <v>27</v>
      </c>
      <c r="B36" s="226" t="s">
        <v>147</v>
      </c>
      <c r="C36" s="133" t="s">
        <v>62</v>
      </c>
      <c r="E36" s="121"/>
      <c r="F36" s="121"/>
      <c r="H36" s="14"/>
      <c r="I36" s="14"/>
      <c r="J36" s="14"/>
      <c r="K36" s="57"/>
      <c r="M36" s="122"/>
    </row>
    <row r="37" spans="1:11" ht="47.25" customHeight="1" thickBot="1">
      <c r="A37" s="131" t="s">
        <v>146</v>
      </c>
      <c r="B37" s="225">
        <f>+'Exp. Especifica del personal'!M56</f>
        <v>2</v>
      </c>
      <c r="C37" s="231">
        <f>IF(B37&gt;=2,60,IF(B37&gt;=1,30,0))</f>
        <v>60</v>
      </c>
      <c r="E37" s="121"/>
      <c r="F37" s="121"/>
      <c r="H37" s="14"/>
      <c r="I37" s="14"/>
      <c r="J37" s="14"/>
      <c r="K37" s="57"/>
    </row>
    <row r="38" spans="1:11" ht="14.25">
      <c r="A38" s="58"/>
      <c r="B38" s="40"/>
      <c r="E38" s="121"/>
      <c r="F38" s="121"/>
      <c r="H38" s="14"/>
      <c r="I38" s="14"/>
      <c r="J38" s="14"/>
      <c r="K38" s="57"/>
    </row>
    <row r="39" spans="1:11" ht="15.75" thickBot="1">
      <c r="A39" s="58"/>
      <c r="B39" s="40"/>
      <c r="C39" s="219"/>
      <c r="D39" s="121"/>
      <c r="E39" s="121"/>
      <c r="F39" s="121"/>
      <c r="H39" s="14"/>
      <c r="I39" s="14"/>
      <c r="J39" s="14"/>
      <c r="K39" s="57"/>
    </row>
    <row r="40" spans="1:11" ht="19.5" thickBot="1">
      <c r="A40" s="58"/>
      <c r="B40" s="40"/>
      <c r="C40" s="232" t="s">
        <v>31</v>
      </c>
      <c r="D40" s="233">
        <f>+C30+C34+C37</f>
        <v>200</v>
      </c>
      <c r="E40" s="121"/>
      <c r="F40" s="121"/>
      <c r="H40" s="14"/>
      <c r="I40" s="14"/>
      <c r="J40" s="14"/>
      <c r="K40" s="57"/>
    </row>
    <row r="41" spans="1:11" ht="15">
      <c r="A41" s="58"/>
      <c r="B41" s="40"/>
      <c r="C41" s="219"/>
      <c r="D41" s="121"/>
      <c r="E41" s="121"/>
      <c r="F41" s="121"/>
      <c r="H41" s="14"/>
      <c r="I41" s="14"/>
      <c r="J41" s="14"/>
      <c r="K41" s="57"/>
    </row>
    <row r="42" spans="1:11" ht="15.75" thickBot="1">
      <c r="A42" s="58"/>
      <c r="B42" s="40"/>
      <c r="C42" s="219"/>
      <c r="D42" s="121"/>
      <c r="E42" s="121"/>
      <c r="F42" s="121"/>
      <c r="H42" s="14"/>
      <c r="I42" s="14"/>
      <c r="J42" s="14"/>
      <c r="K42" s="57"/>
    </row>
    <row r="43" spans="1:11" ht="50.25" customHeight="1" thickBot="1">
      <c r="A43" s="446" t="s">
        <v>97</v>
      </c>
      <c r="B43" s="447"/>
      <c r="C43" s="447"/>
      <c r="D43" s="447"/>
      <c r="E43" s="447"/>
      <c r="F43" s="448"/>
      <c r="H43" s="14"/>
      <c r="I43" s="14"/>
      <c r="J43" s="14"/>
      <c r="K43" s="57"/>
    </row>
    <row r="44" spans="1:11" ht="78.75" customHeight="1" thickBot="1">
      <c r="A44" s="446" t="s">
        <v>93</v>
      </c>
      <c r="B44" s="447"/>
      <c r="C44" s="447"/>
      <c r="D44" s="447"/>
      <c r="E44" s="447"/>
      <c r="F44" s="448"/>
      <c r="H44" s="14"/>
      <c r="I44" s="14"/>
      <c r="J44" s="14"/>
      <c r="K44" s="57"/>
    </row>
    <row r="45" spans="1:11" ht="15">
      <c r="A45" s="220"/>
      <c r="B45" s="40"/>
      <c r="C45" s="219"/>
      <c r="D45" s="121"/>
      <c r="E45" s="121"/>
      <c r="F45" s="121"/>
      <c r="H45" s="14"/>
      <c r="I45" s="14"/>
      <c r="J45" s="14"/>
      <c r="K45" s="57"/>
    </row>
    <row r="46" spans="1:11" ht="15.75" thickBot="1">
      <c r="A46" s="220"/>
      <c r="B46" s="40"/>
      <c r="C46" s="217"/>
      <c r="D46" s="218"/>
      <c r="E46" s="121"/>
      <c r="F46" s="121"/>
      <c r="H46" s="14"/>
      <c r="I46" s="14"/>
      <c r="J46" s="14"/>
      <c r="K46" s="57"/>
    </row>
    <row r="47" spans="1:13" ht="15" customHeight="1" thickBot="1">
      <c r="A47" s="443" t="s">
        <v>96</v>
      </c>
      <c r="B47" s="444"/>
      <c r="C47" s="444"/>
      <c r="D47" s="444"/>
      <c r="E47" s="445"/>
      <c r="F47" s="55"/>
      <c r="H47" s="14"/>
      <c r="I47" s="14"/>
      <c r="J47" s="14"/>
      <c r="K47" s="57"/>
      <c r="M47" s="122"/>
    </row>
    <row r="48" spans="1:13" ht="15" customHeight="1">
      <c r="A48" s="192"/>
      <c r="B48" s="193"/>
      <c r="C48" s="193"/>
      <c r="D48" s="193"/>
      <c r="E48" s="195"/>
      <c r="F48" s="55"/>
      <c r="H48" s="14"/>
      <c r="I48" s="14"/>
      <c r="J48" s="14"/>
      <c r="K48" s="57"/>
      <c r="M48" s="122"/>
    </row>
    <row r="49" spans="1:13" ht="15" customHeight="1">
      <c r="A49" s="195"/>
      <c r="B49" s="195"/>
      <c r="C49" s="195"/>
      <c r="D49" s="195"/>
      <c r="E49" s="195"/>
      <c r="F49" s="55"/>
      <c r="H49" s="14"/>
      <c r="I49" s="14"/>
      <c r="J49" s="14"/>
      <c r="K49" s="57"/>
      <c r="M49" s="122"/>
    </row>
    <row r="50" spans="1:13" ht="15" customHeight="1" thickBot="1">
      <c r="A50" s="194"/>
      <c r="B50" s="195"/>
      <c r="C50" s="195"/>
      <c r="D50" s="195"/>
      <c r="E50" s="195"/>
      <c r="F50" s="55"/>
      <c r="H50" s="14"/>
      <c r="I50" s="14"/>
      <c r="J50" s="14"/>
      <c r="K50" s="57"/>
      <c r="M50" s="122"/>
    </row>
    <row r="51" spans="1:11" s="37" customFormat="1" ht="39" customHeight="1">
      <c r="A51" s="124" t="s">
        <v>27</v>
      </c>
      <c r="B51" s="441" t="s">
        <v>124</v>
      </c>
      <c r="C51" s="441"/>
      <c r="D51" s="133" t="s">
        <v>62</v>
      </c>
      <c r="E51" s="121"/>
      <c r="F51" s="121"/>
      <c r="H51" s="55"/>
      <c r="I51" s="55"/>
      <c r="J51" s="55"/>
      <c r="K51" s="56"/>
    </row>
    <row r="52" spans="1:11" ht="14.25">
      <c r="A52" s="129" t="s">
        <v>59</v>
      </c>
      <c r="B52" s="432">
        <f>+B19</f>
        <v>97.2</v>
      </c>
      <c r="C52" s="432"/>
      <c r="D52" s="234">
        <f>IF(B52&gt;=84,80,IF(B52&lt;=60,0,+ROUND((3.333333*B52)-200,0)))</f>
        <v>80</v>
      </c>
      <c r="E52" s="121"/>
      <c r="F52" s="121"/>
      <c r="H52" s="14"/>
      <c r="I52" s="14"/>
      <c r="J52" s="14"/>
      <c r="K52" s="57"/>
    </row>
    <row r="53" spans="1:13" ht="43.5" customHeight="1">
      <c r="A53" s="129" t="s">
        <v>60</v>
      </c>
      <c r="B53" s="432">
        <f>+B20</f>
        <v>93.5</v>
      </c>
      <c r="C53" s="432"/>
      <c r="D53" s="234">
        <f>IF(B53&gt;=84,60,IF(B53&lt;=60,0,+ROUND((2.5*B53)-150,0)))</f>
        <v>60</v>
      </c>
      <c r="E53" s="121"/>
      <c r="F53" s="121"/>
      <c r="H53" s="14"/>
      <c r="I53" s="14"/>
      <c r="J53" s="14"/>
      <c r="K53" s="57"/>
      <c r="M53" s="122"/>
    </row>
    <row r="54" spans="1:11" ht="29.25" thickBot="1">
      <c r="A54" s="131" t="s">
        <v>30</v>
      </c>
      <c r="B54" s="433">
        <f>+'Exp. Especifica del personal'!K56</f>
        <v>108.83</v>
      </c>
      <c r="C54" s="432"/>
      <c r="D54" s="234">
        <f>IF(B54&gt;=84,60,IF(B54&lt;=60,0,+ROUND((2.5*B54)-150,0)))</f>
        <v>60</v>
      </c>
      <c r="E54" s="121"/>
      <c r="F54" s="121"/>
      <c r="H54" s="14"/>
      <c r="I54" s="14"/>
      <c r="J54" s="14"/>
      <c r="K54" s="57"/>
    </row>
    <row r="55" spans="1:11" ht="14.25">
      <c r="A55" s="58"/>
      <c r="B55" s="40"/>
      <c r="E55" s="121"/>
      <c r="F55" s="121"/>
      <c r="H55" s="14"/>
      <c r="I55" s="14"/>
      <c r="J55" s="14"/>
      <c r="K55" s="57"/>
    </row>
    <row r="56" ht="15" thickBot="1"/>
    <row r="57" spans="3:4" ht="19.5" thickBot="1">
      <c r="C57" s="232" t="s">
        <v>31</v>
      </c>
      <c r="D57" s="233">
        <f>SUM(D52:D54)</f>
        <v>200</v>
      </c>
    </row>
  </sheetData>
  <sheetProtection/>
  <mergeCells count="21">
    <mergeCell ref="A4:K4"/>
    <mergeCell ref="B1:E1"/>
    <mergeCell ref="B2:E2"/>
    <mergeCell ref="B3:E3"/>
    <mergeCell ref="B14:C14"/>
    <mergeCell ref="B53:C53"/>
    <mergeCell ref="B54:C54"/>
    <mergeCell ref="A11:E11"/>
    <mergeCell ref="B13:C13"/>
    <mergeCell ref="B15:C15"/>
    <mergeCell ref="B21:C21"/>
    <mergeCell ref="B16:C16"/>
    <mergeCell ref="B18:C18"/>
    <mergeCell ref="B19:C19"/>
    <mergeCell ref="B20:C20"/>
    <mergeCell ref="A26:E26"/>
    <mergeCell ref="A43:F43"/>
    <mergeCell ref="A44:F44"/>
    <mergeCell ref="A47:E47"/>
    <mergeCell ref="B51:C51"/>
    <mergeCell ref="B52:C52"/>
  </mergeCells>
  <dataValidations count="1">
    <dataValidation type="list" allowBlank="1" showInputMessage="1" showErrorMessage="1" sqref="D8">
      <formula1>$AI$8:$AI$8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27"/>
  <sheetViews>
    <sheetView zoomScalePageLayoutView="0" workbookViewId="0" topLeftCell="A12">
      <selection activeCell="F27" sqref="F27"/>
    </sheetView>
  </sheetViews>
  <sheetFormatPr defaultColWidth="11.19921875" defaultRowHeight="14.25"/>
  <cols>
    <col min="2" max="2" width="19" style="0" customWidth="1"/>
    <col min="3" max="3" width="29.3984375" style="0" customWidth="1"/>
    <col min="4" max="4" width="25.796875" style="0" bestFit="1" customWidth="1"/>
  </cols>
  <sheetData>
    <row r="1" spans="3:46" s="1" customFormat="1" ht="14.25">
      <c r="C1" s="373" t="s">
        <v>4</v>
      </c>
      <c r="D1" s="374"/>
      <c r="E1" s="374"/>
      <c r="F1" s="374"/>
      <c r="G1" s="200"/>
      <c r="H1" s="201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3:46" s="1" customFormat="1" ht="14.25">
      <c r="C2" s="376" t="s">
        <v>5</v>
      </c>
      <c r="D2" s="377"/>
      <c r="E2" s="377"/>
      <c r="F2" s="377"/>
      <c r="G2" s="202"/>
      <c r="H2" s="203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3:46" s="1" customFormat="1" ht="15" thickBot="1">
      <c r="C3" s="376" t="s">
        <v>71</v>
      </c>
      <c r="D3" s="377"/>
      <c r="E3" s="413"/>
      <c r="F3" s="413"/>
      <c r="G3" s="204"/>
      <c r="H3" s="205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2:44" s="1" customFormat="1" ht="29.25" customHeight="1">
      <c r="B4" s="455" t="s">
        <v>7</v>
      </c>
      <c r="C4" s="456"/>
      <c r="D4" s="457"/>
      <c r="E4" s="237"/>
      <c r="F4" s="237"/>
      <c r="G4" s="237"/>
      <c r="H4" s="237"/>
      <c r="I4" s="237"/>
      <c r="J4" s="237"/>
      <c r="K4" s="237"/>
      <c r="L4" s="238"/>
      <c r="M4" s="1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4"/>
      <c r="AM4" s="15"/>
      <c r="AN4" s="15"/>
      <c r="AO4" s="15"/>
      <c r="AP4" s="15"/>
      <c r="AQ4" s="15"/>
      <c r="AR4" s="15"/>
    </row>
    <row r="5" spans="2:44" s="1" customFormat="1" ht="14.25">
      <c r="B5" s="458"/>
      <c r="C5" s="459"/>
      <c r="D5" s="460"/>
      <c r="E5" s="237"/>
      <c r="F5" s="237"/>
      <c r="G5" s="237"/>
      <c r="H5" s="237"/>
      <c r="I5" s="237"/>
      <c r="J5" s="237"/>
      <c r="K5" s="237"/>
      <c r="L5" s="238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4"/>
      <c r="AM5" s="15"/>
      <c r="AN5" s="15"/>
      <c r="AO5" s="15"/>
      <c r="AP5" s="15"/>
      <c r="AQ5" s="15"/>
      <c r="AR5" s="15"/>
    </row>
    <row r="6" spans="2:44" s="1" customFormat="1" ht="14.25">
      <c r="B6" s="458"/>
      <c r="C6" s="459"/>
      <c r="D6" s="460"/>
      <c r="E6" s="237"/>
      <c r="F6" s="237"/>
      <c r="G6" s="237"/>
      <c r="H6" s="237"/>
      <c r="I6" s="237"/>
      <c r="J6" s="237"/>
      <c r="K6" s="237"/>
      <c r="L6" s="238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4"/>
      <c r="AM6" s="15"/>
      <c r="AN6" s="15"/>
      <c r="AO6" s="15"/>
      <c r="AP6" s="15"/>
      <c r="AQ6" s="15"/>
      <c r="AR6" s="15"/>
    </row>
    <row r="7" spans="2:4" ht="15" thickBot="1">
      <c r="B7" s="461"/>
      <c r="C7" s="462"/>
      <c r="D7" s="463"/>
    </row>
    <row r="9" ht="15" thickBot="1"/>
    <row r="10" spans="3:4" s="155" customFormat="1" ht="29.25" thickBot="1">
      <c r="C10" s="245" t="s">
        <v>105</v>
      </c>
      <c r="D10" s="277" t="s">
        <v>112</v>
      </c>
    </row>
    <row r="11" spans="3:4" ht="15" thickBot="1">
      <c r="C11" s="278" t="s">
        <v>125</v>
      </c>
      <c r="D11" s="276" t="str">
        <f>+IF('Exp. como consultor'!N33="ELEGIBLE",IF('Exp. como constructor'!N40="ELEGIBLE","ELEGIBLE","NO ELEGIBLE"))</f>
        <v>ELEGIBLE</v>
      </c>
    </row>
    <row r="12" spans="3:4" ht="15" thickBot="1">
      <c r="C12" s="275" t="s">
        <v>126</v>
      </c>
      <c r="D12" s="276" t="str">
        <f>+D11</f>
        <v>ELEGIBLE</v>
      </c>
    </row>
    <row r="13" ht="15" thickBot="1">
      <c r="E13" s="169"/>
    </row>
    <row r="14" spans="2:5" ht="33.75" customHeight="1" thickBot="1">
      <c r="B14" s="236" t="s">
        <v>27</v>
      </c>
      <c r="C14" s="451" t="s">
        <v>148</v>
      </c>
      <c r="D14" s="452"/>
      <c r="E14" s="38"/>
    </row>
    <row r="15" spans="2:5" ht="14.25">
      <c r="B15" s="199" t="s">
        <v>59</v>
      </c>
      <c r="C15" s="453" t="str">
        <f>+'Profesionales Califcables '!D14</f>
        <v>CUMPLE</v>
      </c>
      <c r="D15" s="454"/>
      <c r="E15" s="189"/>
    </row>
    <row r="16" spans="2:5" ht="28.5">
      <c r="B16" s="129" t="s">
        <v>108</v>
      </c>
      <c r="C16" s="438" t="str">
        <f>+'Profesionales Califcables '!D15</f>
        <v>CUMPLE</v>
      </c>
      <c r="D16" s="464"/>
      <c r="E16" s="189"/>
    </row>
    <row r="17" spans="2:5" ht="29.25" thickBot="1">
      <c r="B17" s="131" t="s">
        <v>109</v>
      </c>
      <c r="C17" s="440" t="str">
        <f>+'Profesionales Califcables '!D16</f>
        <v>CUMPLE</v>
      </c>
      <c r="D17" s="465"/>
      <c r="E17" s="189"/>
    </row>
    <row r="18" ht="15" thickBot="1">
      <c r="E18" s="169"/>
    </row>
    <row r="19" spans="2:5" ht="34.5" customHeight="1" thickBot="1">
      <c r="B19" s="236" t="s">
        <v>27</v>
      </c>
      <c r="C19" s="466" t="s">
        <v>113</v>
      </c>
      <c r="D19" s="467"/>
      <c r="E19" s="169"/>
    </row>
    <row r="20" spans="2:4" ht="14.25">
      <c r="B20" s="127" t="s">
        <v>59</v>
      </c>
      <c r="C20" s="442" t="str">
        <f>+'Profesionales Califcables '!D19</f>
        <v>CUMPLE</v>
      </c>
      <c r="D20" s="468"/>
    </row>
    <row r="21" spans="2:4" ht="28.5">
      <c r="B21" s="129" t="s">
        <v>108</v>
      </c>
      <c r="C21" s="453" t="str">
        <f>+'Profesionales Califcables '!D20</f>
        <v>CUMPLE</v>
      </c>
      <c r="D21" s="454"/>
    </row>
    <row r="22" spans="2:4" ht="29.25" thickBot="1">
      <c r="B22" s="131" t="s">
        <v>109</v>
      </c>
      <c r="C22" s="449" t="str">
        <f>+'Profesionales Califcables '!D21</f>
        <v>CUMPLE</v>
      </c>
      <c r="D22" s="450"/>
    </row>
    <row r="24" ht="15" thickBot="1"/>
    <row r="25" spans="3:4" ht="14.25">
      <c r="C25" s="239" t="s">
        <v>110</v>
      </c>
      <c r="D25" s="240" t="s">
        <v>62</v>
      </c>
    </row>
    <row r="26" spans="3:4" ht="15" thickBot="1">
      <c r="C26" s="241"/>
      <c r="D26" s="242"/>
    </row>
    <row r="27" spans="3:4" ht="54.75" thickBot="1">
      <c r="C27" s="243" t="s">
        <v>111</v>
      </c>
      <c r="D27" s="244">
        <f>+'Profesionales Califcables '!D40+'Profesionales Califcables '!D57</f>
        <v>400</v>
      </c>
    </row>
  </sheetData>
  <sheetProtection/>
  <mergeCells count="12">
    <mergeCell ref="C22:D22"/>
    <mergeCell ref="C1:F1"/>
    <mergeCell ref="C2:F2"/>
    <mergeCell ref="C3:F3"/>
    <mergeCell ref="C14:D14"/>
    <mergeCell ref="C15:D15"/>
    <mergeCell ref="B4:D7"/>
    <mergeCell ref="C16:D16"/>
    <mergeCell ref="C17:D17"/>
    <mergeCell ref="C19:D19"/>
    <mergeCell ref="C20:D20"/>
    <mergeCell ref="C21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BONUS Banca de Inversión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Distrital</cp:lastModifiedBy>
  <cp:lastPrinted>2010-01-25T06:55:30Z</cp:lastPrinted>
  <dcterms:created xsi:type="dcterms:W3CDTF">2010-01-23T18:01:11Z</dcterms:created>
  <dcterms:modified xsi:type="dcterms:W3CDTF">2011-07-13T23:24:04Z</dcterms:modified>
  <cp:category/>
  <cp:version/>
  <cp:contentType/>
  <cp:contentStatus/>
</cp:coreProperties>
</file>