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91" windowWidth="9630" windowHeight="3960" tabRatio="500" firstSheet="3" activeTab="5"/>
  </bookViews>
  <sheets>
    <sheet name="Exp. como consultor" sheetId="1" r:id="rId1"/>
    <sheet name="Exp. como constructor" sheetId="2" r:id="rId2"/>
    <sheet name="Exp. General del personal" sheetId="3" r:id="rId3"/>
    <sheet name="Exp. Especifica del personal" sheetId="4" r:id="rId4"/>
    <sheet name="Profesionales Califcables " sheetId="5" r:id="rId5"/>
    <sheet name="CALIFICACION TECNICA" sheetId="6" r:id="rId6"/>
  </sheets>
  <definedNames/>
  <calcPr calcMode="manual" fullCalcOnLoad="1" iterate="1" iterateCount="100" iterateDelta="0.001"/>
</workbook>
</file>

<file path=xl/comments3.xml><?xml version="1.0" encoding="utf-8"?>
<comments xmlns="http://schemas.openxmlformats.org/spreadsheetml/2006/main">
  <authors>
    <author>C&amp;C</author>
  </authors>
  <commentList>
    <comment ref="B15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ARQUITECTO O ING. CIVIL</t>
        </r>
      </text>
    </comment>
    <comment ref="J28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  <comment ref="B36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ARQUITECTO</t>
        </r>
      </text>
    </comment>
    <comment ref="J47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  <comment ref="B55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INGENIERO CIVIL</t>
        </r>
      </text>
    </comment>
    <comment ref="J79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</commentList>
</comments>
</file>

<file path=xl/comments4.xml><?xml version="1.0" encoding="utf-8"?>
<comments xmlns="http://schemas.openxmlformats.org/spreadsheetml/2006/main">
  <authors>
    <author>C&amp;C</author>
  </authors>
  <commentList>
    <comment ref="J20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60 MESES COMO DIRECTOR DE OBRAS DE EDIFICACIONES</t>
        </r>
      </text>
    </comment>
    <comment ref="J34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DEBERÁ ACREDITAR COMO MÍNIMO 60 MESE DE EXPERIENCIA ESPECÍFICA CERTIFICADA EN RESIDENCIA O DIRECCIÓN DE OBRAS DE EDIFICACIONES</t>
        </r>
      </text>
    </comment>
    <comment ref="K56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DEBERÁ ACREDITAR COMO MÍNIMO 60 MESES DE EXPERIENCIA ESPECÍFICA CERTIFICADA EN RESIDENCIA O DIRECCIÓN DE OBRAS DE EDIFICACIONES
</t>
        </r>
      </text>
    </comment>
  </commentList>
</comments>
</file>

<file path=xl/comments5.xml><?xml version="1.0" encoding="utf-8"?>
<comments xmlns="http://schemas.openxmlformats.org/spreadsheetml/2006/main">
  <authors>
    <author>C&amp;C</author>
  </authors>
  <commentList>
    <comment ref="D40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MAXIMO 200 PUNTOS</t>
        </r>
      </text>
    </comment>
    <comment ref="D57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MAXIMO 200 PUNTOS</t>
        </r>
      </text>
    </comment>
  </commentList>
</comments>
</file>

<file path=xl/sharedStrings.xml><?xml version="1.0" encoding="utf-8"?>
<sst xmlns="http://schemas.openxmlformats.org/spreadsheetml/2006/main" count="422" uniqueCount="146">
  <si>
    <t>P. Natural Nacional</t>
  </si>
  <si>
    <t>No Cumple</t>
  </si>
  <si>
    <t>Consorcio</t>
  </si>
  <si>
    <t>Unión Temporal</t>
  </si>
  <si>
    <t>UNIVERSIDAD DISTRITAL</t>
  </si>
  <si>
    <t>FRANCISCO JOSÉ DE CALDAS</t>
  </si>
  <si>
    <t>Cumple</t>
  </si>
  <si>
    <t>INFORME DE EVALUACIÓN TÉCNICA</t>
  </si>
  <si>
    <t xml:space="preserve"> </t>
  </si>
  <si>
    <t>Valor Estimado Contrato</t>
  </si>
  <si>
    <t>Valor Referencial</t>
  </si>
  <si>
    <t>Forma Asociación:</t>
  </si>
  <si>
    <t>Integrantes:</t>
  </si>
  <si>
    <t>P.Jurídica Nacional Privada</t>
  </si>
  <si>
    <t>P.Jurídica Nacional Mixta</t>
  </si>
  <si>
    <t>Promesa de Sociedad Futura</t>
  </si>
  <si>
    <t>P.Jurídica Nacional Pública</t>
  </si>
  <si>
    <t>P. Jurídica Extranjera</t>
  </si>
  <si>
    <t>P. Natural Extranjera</t>
  </si>
  <si>
    <t>Integrante que Aporta Experiencia</t>
  </si>
  <si>
    <t>% Part Contrato que acredita</t>
  </si>
  <si>
    <t>% Part Miembro Proponente</t>
  </si>
  <si>
    <t>Fecha Inicio</t>
  </si>
  <si>
    <t>Fecha Final</t>
  </si>
  <si>
    <t>Valor del Contrato con adicionales</t>
  </si>
  <si>
    <t>El cien por ciento (100%) de la experiencia total requerida en estos Términos debe haberse ejecutado en territorio colombiano.</t>
  </si>
  <si>
    <t>Experiencia como Constructor</t>
  </si>
  <si>
    <t>PROFESIONAL</t>
  </si>
  <si>
    <t>EXPERDIENCIA GENERAL</t>
  </si>
  <si>
    <t>CUMPLE-NO CUMPLE</t>
  </si>
  <si>
    <t>PROFESIONAL ESPECIALISTA EN ESTRUCTURAS</t>
  </si>
  <si>
    <t>TOTAL</t>
  </si>
  <si>
    <t>REQUISITOS MINIMOS HABILITANTES</t>
  </si>
  <si>
    <t>No. DE ORDEN</t>
  </si>
  <si>
    <t>ENTIDAD CONTRATANTE</t>
  </si>
  <si>
    <t>Porcentaje de dedicación al proyecto (medido sobre 100%)</t>
  </si>
  <si>
    <t>CARGO DESEMPEÑADO</t>
  </si>
  <si>
    <t>DURACION DEL PROYECTO EN MESES PROPORCIONAL</t>
  </si>
  <si>
    <t>VALIDAS SI/NO</t>
  </si>
  <si>
    <t>INICIA 
(mes - año)</t>
  </si>
  <si>
    <t>TERMINA  
(mes - año)</t>
  </si>
  <si>
    <t>SI</t>
  </si>
  <si>
    <t>SUBTOTAL</t>
  </si>
  <si>
    <t>PREGRADO</t>
  </si>
  <si>
    <t>No. DE</t>
  </si>
  <si>
    <t>TíTULO</t>
  </si>
  <si>
    <t>FECHA DE GRADO</t>
  </si>
  <si>
    <r>
      <t xml:space="preserve">DOCUMENTO PROFESIONAL </t>
    </r>
    <r>
      <rPr>
        <b/>
        <vertAlign val="superscript"/>
        <sz val="10"/>
        <rFont val="Arial Narrow"/>
        <family val="2"/>
      </rPr>
      <t>(1)</t>
    </r>
  </si>
  <si>
    <t xml:space="preserve"> VALE  SI/NO</t>
  </si>
  <si>
    <t>OBTENIDO</t>
  </si>
  <si>
    <t>(mes - año)</t>
  </si>
  <si>
    <t>No.</t>
  </si>
  <si>
    <t>Fecha</t>
  </si>
  <si>
    <t>TRASLAPOS</t>
  </si>
  <si>
    <t>DURACIÓN (ORGANIZADOS EN ORDEN CRONOLOGICO)</t>
  </si>
  <si>
    <t>PROYECTO O TRABAJO</t>
  </si>
  <si>
    <t xml:space="preserve">RAZÓN SOCIAL </t>
  </si>
  <si>
    <t>CONTRATO 1:</t>
  </si>
  <si>
    <t> El cien por ciento (100%) de la experiencia total requerida en estos Términos debe haberse ejecutado en territorio colombiano.</t>
  </si>
  <si>
    <t>DIRECTOR DE OBRA</t>
  </si>
  <si>
    <t>EXPERDIENCIA ESPECIFICA</t>
  </si>
  <si>
    <t>PUNTAJE</t>
  </si>
  <si>
    <t xml:space="preserve">No de FOLIO. </t>
  </si>
  <si>
    <t>Cumple</t>
  </si>
  <si>
    <t>Director de Obra</t>
  </si>
  <si>
    <t>ARQUITECTO</t>
  </si>
  <si>
    <t>RESIDENTE</t>
  </si>
  <si>
    <t>DIRECTOR</t>
  </si>
  <si>
    <t>ORDEN SEGÚN ANEXO 9</t>
  </si>
  <si>
    <t>CONTRATANTE</t>
  </si>
  <si>
    <t>OBJETO DE LA CONVOCATORIA: “CONTRATAR LA REALIZACIÓN REFORZAMIENTO ESTRUCTURAL Y MEJORAMIENTO INTEGRAL DE LA SEDE “A” DE LA MACARENA.”"</t>
  </si>
  <si>
    <t>CONVOCATORIA PÚBLICA No. 002 de 2010</t>
  </si>
  <si>
    <t>27.600 smlmv</t>
  </si>
  <si>
    <r>
      <rPr>
        <sz val="11"/>
        <rFont val="Verdana"/>
        <family val="2"/>
      </rPr>
      <t xml:space="preserve">El proponente deberá acreditar experiencia en ejecución de proyectos de </t>
    </r>
    <r>
      <rPr>
        <b/>
        <sz val="12"/>
        <rFont val="Verdana"/>
        <family val="2"/>
      </rPr>
      <t>remodelación en edificios de tipo Institucional,</t>
    </r>
    <r>
      <rPr>
        <sz val="11"/>
        <rFont val="Verdana"/>
        <family val="2"/>
      </rPr>
      <t xml:space="preserve"> en donde se incluyan como  mínimo la ejecución de las siguientes actividades:</t>
    </r>
    <r>
      <rPr>
        <b/>
        <sz val="12"/>
        <rFont val="Verdana"/>
        <family val="2"/>
      </rPr>
      <t xml:space="preserve"> Instalaciones hidráulicas, sanitarias, eléctricas, redes de voz y datos e instalación de acabados:</t>
    </r>
  </si>
  <si>
    <t xml:space="preserve"> La experiencia que se acredite deberá haberse obtenido desde el primero de enero del año 1998.</t>
  </si>
  <si>
    <r>
      <t xml:space="preserve">Se deberá acreditar en máximo dos </t>
    </r>
    <r>
      <rPr>
        <b/>
        <sz val="12"/>
        <rFont val="Verdana"/>
        <family val="2"/>
      </rPr>
      <t>(2) proyectos ejecutados,</t>
    </r>
    <r>
      <rPr>
        <sz val="11"/>
        <rFont val="Verdana"/>
        <family val="2"/>
      </rPr>
      <t xml:space="preserve"> certificando las actividades mencionadas en el presente literal, </t>
    </r>
    <r>
      <rPr>
        <b/>
        <sz val="12"/>
        <rFont val="Verdana"/>
        <family val="2"/>
      </rPr>
      <t>cuya sumatoria en área sea igual o mayor a 10.000 M2.</t>
    </r>
  </si>
  <si>
    <r>
      <t>El proponente deberá acreditar experiencia en</t>
    </r>
    <r>
      <rPr>
        <b/>
        <sz val="11"/>
        <rFont val="Verdana"/>
        <family val="2"/>
      </rPr>
      <t xml:space="preserve"> </t>
    </r>
    <r>
      <rPr>
        <b/>
        <sz val="12"/>
        <rFont val="Verdana"/>
        <family val="2"/>
      </rPr>
      <t>proyectos que hayan incluido Reforzamiento Estructural, realizados en concreto reforzado, de edificios de tipo Institucional de más de 3 pisos.”</t>
    </r>
  </si>
  <si>
    <t xml:space="preserve"> La experiencia que se acredite deberá haberse obtenido, desde el primero de enero de 1998. </t>
  </si>
  <si>
    <r>
      <t>Se deberá acreditar en un</t>
    </r>
    <r>
      <rPr>
        <b/>
        <sz val="12"/>
        <rFont val="Verdana"/>
        <family val="2"/>
      </rPr>
      <t xml:space="preserve"> (1) proyecto</t>
    </r>
    <r>
      <rPr>
        <sz val="11"/>
        <rFont val="Verdana"/>
        <family val="2"/>
      </rPr>
      <t xml:space="preserve"> ejecutado </t>
    </r>
    <r>
      <rPr>
        <b/>
        <sz val="12"/>
        <rFont val="Verdana"/>
        <family val="2"/>
      </rPr>
      <t>cuya área cubierta de 18 intervención sea igual o mayor a 10.000 M2</t>
    </r>
    <r>
      <rPr>
        <sz val="11"/>
        <rFont val="Verdana"/>
        <family val="2"/>
      </rPr>
      <t>.</t>
    </r>
  </si>
  <si>
    <r>
      <t xml:space="preserve">Los proyectos que se aporten por el Proponente para acreditar la experiencia de que trata este numeral, deberán estar </t>
    </r>
    <r>
      <rPr>
        <b/>
        <sz val="11"/>
        <rFont val="Verdana"/>
        <family val="2"/>
      </rPr>
      <t>terminados y recibidos a satisfacción de la Entidad Contratante</t>
    </r>
    <r>
      <rPr>
        <sz val="11"/>
        <rFont val="Verdana"/>
        <family val="2"/>
      </rPr>
      <t xml:space="preserve">. Para proyectos cuyo objeto consista en la realización de diseños y construcción, se deberá especificar en la misma, el porcentaje de diseño y de construcción, respectivamente, con el fin de validar la experiencia solicitada. 
</t>
    </r>
    <r>
      <rPr>
        <b/>
        <sz val="11"/>
        <rFont val="Verdana"/>
        <family val="2"/>
      </rPr>
      <t>NOTA. Para efectos de la presente Convocatoria las edificaciones de tipo  institucional corresponden a: edificaciones educativas, hospitalarias, carcelarias, culturales, religiosas y servicios de administración pública.</t>
    </r>
    <r>
      <rPr>
        <sz val="11"/>
        <rFont val="Verdana"/>
        <family val="2"/>
      </rPr>
      <t xml:space="preserve">
</t>
    </r>
  </si>
  <si>
    <t xml:space="preserve">Proponente 1: </t>
  </si>
  <si>
    <t>Unión Temporal</t>
  </si>
  <si>
    <t xml:space="preserve"> La experiencia que se acredite deberá haberse obtenido desde el primero de enero del año 2000.</t>
  </si>
  <si>
    <r>
      <t xml:space="preserve">La edificación de la cual se realizó el diseño deberá corresponder a un </t>
    </r>
    <r>
      <rPr>
        <b/>
        <sz val="11"/>
        <rFont val="Verdana"/>
        <family val="2"/>
      </rPr>
      <t>área bajo cubierta mínima de 10.000m2</t>
    </r>
  </si>
  <si>
    <t>El ciento por ciento (100%) de la experiencia total requerida en estos Términos debe haberse ejecutado en territorio colombiano.</t>
  </si>
  <si>
    <t>Experiencia como Consultor</t>
  </si>
  <si>
    <r>
      <t xml:space="preserve">El proponente deberá acreditar su experiencia como consultor adjuntando </t>
    </r>
    <r>
      <rPr>
        <b/>
        <sz val="11"/>
        <rFont val="Verdana"/>
        <family val="2"/>
      </rPr>
      <t>máximo un (1) proyecto</t>
    </r>
    <r>
      <rPr>
        <sz val="11"/>
        <rFont val="Verdana"/>
        <family val="2"/>
      </rPr>
      <t xml:space="preserve"> que incluya en su </t>
    </r>
    <r>
      <rPr>
        <b/>
        <sz val="11"/>
        <rFont val="Verdana"/>
        <family val="2"/>
      </rPr>
      <t>alcance, diseño arquitectónico, el cálculo y diseño de instalaciones eléctricas e instalaciones hidrosanitarias en edificaciones de tipo institucional, voz y datos</t>
    </r>
  </si>
  <si>
    <t xml:space="preserve">Para proyectos cuyo objeto consista en la realización de diseños y construcción, se deberá especificar en la misma, el porcentaje de diseño y de construcción,  respectivamente, con el fin de validar la experiencia solicitada.
</t>
  </si>
  <si>
    <t>FOLIO</t>
  </si>
  <si>
    <t>No. DE FOLIO</t>
  </si>
  <si>
    <t xml:space="preserve">Arquitecto residente </t>
  </si>
  <si>
    <t xml:space="preserve">Ingeniero Civil residente </t>
  </si>
  <si>
    <t>Como experiencia general de los profesionales se entienden los meses de ejercicio profesional debidamente acreditados y/o certificados por cada uno de los profesionales, desde la fecha de expedición de la matrícula o tarjeta profesional, hasta la fecha de cierre de la presente Convocatoria.</t>
  </si>
  <si>
    <t>Las certificaciones de experiencia general de los profesionales deben ser expedidas por la persona natural o jurídica con quien se haya establecido la relación laboral o de prestación de servicios. Estas certificaciones deberán determinar: el cargo desempeñado y el tiempo durante el cual, el profesional, ejerció dicho cargo o participó en el proyecto (indicando las fechas de iniciación y de terminación. Formato: día/mes/año).</t>
  </si>
  <si>
    <t>Las certificaciones de experiencia específica de los profesionales deben ser expedidas por la persona natural o jurídica con quien se haya establecido la relación laboral o de prestación de servicios. Estas certificaciones deberán determinar: el objeto del proyecto, el cargo desempeñado, el metraje del proyecto y el tiempo durante el cual, el profesional, ejerció dicho cargo o participó en el proyecto (indicando las fechas de iniciación y de terminación. Formato: día/mes/año).</t>
  </si>
  <si>
    <t>TIEMPO VALIDO</t>
  </si>
  <si>
    <t xml:space="preserve">Proponente : </t>
  </si>
  <si>
    <t xml:space="preserve">PUNTAJE POR EXPERIENCIA ESPECIFICA </t>
  </si>
  <si>
    <t>Para efectos de la calificación del personal profesional por experiencia específica, el puntaje se otorgará de forma proporcional a las fracciones de tiempo de experiencia específica efectivamente acreditadas, cuando sea el caso.</t>
  </si>
  <si>
    <t>AREA CUBIERTA DEL PROYECTO</t>
  </si>
  <si>
    <t>PROYECTOS CON AREAS SUPERIORES A 10000 M2</t>
  </si>
  <si>
    <t>PUNTAJE POR EXPERIENCIA EN AREA DE PROYECTOS</t>
  </si>
  <si>
    <t>N° DE PROYECTOS MAYORES O IGUALES A 10000M2</t>
  </si>
  <si>
    <t xml:space="preserve">ARQUITECTO RESIDENTE </t>
  </si>
  <si>
    <t>N° DE PROYECTOS MAYORES O IGUALES A 5000M2</t>
  </si>
  <si>
    <t>PROYECTOS CON AREAS SUPERIORES A 5000 M2</t>
  </si>
  <si>
    <t>REQUISITO HABILITANTE</t>
  </si>
  <si>
    <t>VALIDACION DE LA EXPERIENCIA MEDIANTE FIGURAS DE ASOCIACION Y/O PROPONENTES PLURALES</t>
  </si>
  <si>
    <t>EVALUACION COMO CONSULTOR</t>
  </si>
  <si>
    <t>ARQUITECTO RESIDENTE</t>
  </si>
  <si>
    <t>INGENEIERO RESIDENTE</t>
  </si>
  <si>
    <t>FACTOR DE ESCOGENCIA</t>
  </si>
  <si>
    <t>PERSONAL PROFESIONAL CALIFICABLE</t>
  </si>
  <si>
    <t>EVALUACION/CALIFICACION ELEGIBLE / NO ELEGIBLE</t>
  </si>
  <si>
    <t>EXPERDIENCIA GENERAL                                                       CUMPLE/NO CUMPLE</t>
  </si>
  <si>
    <t>EXPERDIENCIA ESPECIFICA                                                 CUMPLE/NO CUMPLE</t>
  </si>
  <si>
    <t>UNION TEMPORAL GLOBAL</t>
  </si>
  <si>
    <t>NELSON FERNANDO RANGEL PARDO</t>
  </si>
  <si>
    <t>ASEDING LTDA.</t>
  </si>
  <si>
    <t>R Y R INGENIEROS S.A.S</t>
  </si>
  <si>
    <t>MOTTA &amp; RODRIGUEZ ARQUITECTOS ASOCIADOS LTDA.</t>
  </si>
  <si>
    <t>Se deberá acreditar en un (1) proyecto de diseño terminado y recibido a satisfacción de la Entidad Contratante, certificando las actividades  mencionadas en el presente literal.</t>
  </si>
  <si>
    <t>AREA M2</t>
  </si>
  <si>
    <t>EXPERIENCIA 1:</t>
  </si>
  <si>
    <t>EXPERIENCIA 2</t>
  </si>
  <si>
    <t>SUMATORIA</t>
  </si>
  <si>
    <t>ING. CIVIL</t>
  </si>
  <si>
    <t>25202-14069CND</t>
  </si>
  <si>
    <t>RESIDENTE DE ESTRUCTURA</t>
  </si>
  <si>
    <t>NOMBRE: CARLOS ERNESTO PERDOMO RUBIANO</t>
  </si>
  <si>
    <t>NOMBRE: LUIS ALEJANDRO RUIZ CEPEDA</t>
  </si>
  <si>
    <t>257000-11537CND</t>
  </si>
  <si>
    <t>NOMBRE: JORGE ALBERTO GALINDO CARDENAS</t>
  </si>
  <si>
    <t>25202-57361CND</t>
  </si>
  <si>
    <t>COORDINADOR</t>
  </si>
  <si>
    <t>ASESOR</t>
  </si>
  <si>
    <t>TIEMPO</t>
  </si>
  <si>
    <t>POSGRADO</t>
  </si>
  <si>
    <t>ESP. EN GERENCIA DE CONSTRUCCION</t>
  </si>
  <si>
    <t>OK</t>
  </si>
  <si>
    <t>EXP. ESPECIFICA</t>
  </si>
  <si>
    <t>RESIDENTE DE OBRA</t>
  </si>
  <si>
    <t>EXPERIENCIA COMO CONSULTOR</t>
  </si>
  <si>
    <t>EXPERIENCIA COMO CONSTRUCTOR</t>
  </si>
  <si>
    <t>ING. CIVIL RESIDENTE</t>
  </si>
  <si>
    <t>RESIDENTE DE REFORZAMIENTO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</si>
</sst>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\ &quot;SMLMV&quot;"/>
    <numFmt numFmtId="166" formatCode="&quot;$&quot;#,##0"/>
    <numFmt numFmtId="167" formatCode="&quot;$&quot;#,##0.00"/>
    <numFmt numFmtId="168" formatCode="0.0"/>
    <numFmt numFmtId="169" formatCode="[$$-240A]\ #,##0"/>
  </numFmts>
  <fonts count="56">
    <font>
      <sz val="11"/>
      <name val="Verdana"/>
      <family val="0"/>
    </font>
    <font>
      <sz val="11"/>
      <color indexed="8"/>
      <name val="Calibri"/>
      <family val="2"/>
    </font>
    <font>
      <b/>
      <sz val="11"/>
      <name val="Verdana"/>
      <family val="2"/>
    </font>
    <font>
      <sz val="8"/>
      <name val="Verdana"/>
      <family val="2"/>
    </font>
    <font>
      <sz val="11"/>
      <color indexed="22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2"/>
      <name val="Arial"/>
      <family val="2"/>
    </font>
    <font>
      <b/>
      <sz val="14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164" fontId="0" fillId="33" borderId="0" xfId="5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 vertical="top"/>
    </xf>
    <xf numFmtId="0" fontId="0" fillId="33" borderId="19" xfId="0" applyFont="1" applyFill="1" applyBorder="1" applyAlignment="1">
      <alignment/>
    </xf>
    <xf numFmtId="9" fontId="0" fillId="33" borderId="20" xfId="52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vertical="top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15" fontId="0" fillId="33" borderId="20" xfId="0" applyNumberFormat="1" applyFill="1" applyBorder="1" applyAlignment="1">
      <alignment horizontal="center" vertical="center" wrapText="1"/>
    </xf>
    <xf numFmtId="15" fontId="0" fillId="33" borderId="20" xfId="0" applyNumberFormat="1" applyFont="1" applyFill="1" applyBorder="1" applyAlignment="1">
      <alignment horizontal="center" vertical="center" wrapText="1"/>
    </xf>
    <xf numFmtId="15" fontId="0" fillId="33" borderId="2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justify" wrapText="1"/>
    </xf>
    <xf numFmtId="0" fontId="0" fillId="35" borderId="0" xfId="0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1" xfId="0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9" fillId="0" borderId="31" xfId="0" applyFont="1" applyBorder="1" applyAlignment="1">
      <alignment/>
    </xf>
    <xf numFmtId="17" fontId="9" fillId="0" borderId="31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8" fillId="37" borderId="38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9" fillId="38" borderId="0" xfId="0" applyFont="1" applyFill="1" applyAlignment="1">
      <alignment vertical="center"/>
    </xf>
    <xf numFmtId="43" fontId="7" fillId="37" borderId="39" xfId="46" applyFont="1" applyFill="1" applyBorder="1" applyAlignment="1">
      <alignment vertical="center"/>
    </xf>
    <xf numFmtId="43" fontId="9" fillId="37" borderId="39" xfId="46" applyFont="1" applyFill="1" applyBorder="1" applyAlignment="1">
      <alignment vertical="center"/>
    </xf>
    <xf numFmtId="43" fontId="9" fillId="37" borderId="40" xfId="46" applyFont="1" applyFill="1" applyBorder="1" applyAlignment="1">
      <alignment vertical="center"/>
    </xf>
    <xf numFmtId="164" fontId="9" fillId="0" borderId="0" xfId="52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43" fontId="9" fillId="0" borderId="0" xfId="46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46" applyNumberFormat="1" applyFont="1" applyAlignment="1">
      <alignment vertical="center"/>
    </xf>
    <xf numFmtId="43" fontId="9" fillId="0" borderId="0" xfId="46" applyFont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37" xfId="0" applyFont="1" applyBorder="1" applyAlignment="1">
      <alignment vertical="center"/>
    </xf>
    <xf numFmtId="0" fontId="11" fillId="0" borderId="2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8" xfId="0" applyFont="1" applyBorder="1" applyAlignment="1">
      <alignment horizontal="centerContinuous"/>
    </xf>
    <xf numFmtId="0" fontId="11" fillId="0" borderId="42" xfId="0" applyFont="1" applyBorder="1" applyAlignment="1">
      <alignment horizontal="centerContinuous"/>
    </xf>
    <xf numFmtId="0" fontId="11" fillId="0" borderId="29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4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7" fontId="13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5" fontId="13" fillId="0" borderId="4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/>
    </xf>
    <xf numFmtId="9" fontId="10" fillId="0" borderId="20" xfId="52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2" fillId="35" borderId="4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49" xfId="0" applyFont="1" applyFill="1" applyBorder="1" applyAlignment="1">
      <alignment horizontal="center" vertical="center" wrapText="1"/>
    </xf>
    <xf numFmtId="15" fontId="0" fillId="33" borderId="25" xfId="0" applyNumberFormat="1" applyFill="1" applyBorder="1" applyAlignment="1">
      <alignment horizontal="center" vertical="center" wrapText="1"/>
    </xf>
    <xf numFmtId="9" fontId="0" fillId="33" borderId="20" xfId="0" applyNumberFormat="1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5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8" fillId="37" borderId="5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 wrapText="1"/>
    </xf>
    <xf numFmtId="9" fontId="10" fillId="0" borderId="20" xfId="52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14" fontId="10" fillId="0" borderId="51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/>
    </xf>
    <xf numFmtId="0" fontId="9" fillId="0" borderId="25" xfId="0" applyFont="1" applyBorder="1" applyAlignment="1">
      <alignment/>
    </xf>
    <xf numFmtId="17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9" fillId="37" borderId="4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9" fontId="10" fillId="0" borderId="30" xfId="52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7" fillId="0" borderId="57" xfId="0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Continuous" vertical="center"/>
    </xf>
    <xf numFmtId="0" fontId="9" fillId="0" borderId="40" xfId="0" applyFont="1" applyBorder="1" applyAlignment="1">
      <alignment horizontal="centerContinuous" vertical="center"/>
    </xf>
    <xf numFmtId="168" fontId="9" fillId="37" borderId="30" xfId="0" applyNumberFormat="1" applyFont="1" applyFill="1" applyBorder="1" applyAlignment="1">
      <alignment horizontal="center"/>
    </xf>
    <xf numFmtId="168" fontId="9" fillId="37" borderId="20" xfId="0" applyNumberFormat="1" applyFont="1" applyFill="1" applyBorder="1" applyAlignment="1">
      <alignment horizontal="center"/>
    </xf>
    <xf numFmtId="168" fontId="9" fillId="0" borderId="58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36" borderId="45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4" fontId="10" fillId="0" borderId="25" xfId="0" applyNumberFormat="1" applyFont="1" applyBorder="1" applyAlignment="1">
      <alignment horizontal="center" vertical="center" wrapText="1"/>
    </xf>
    <xf numFmtId="9" fontId="10" fillId="0" borderId="25" xfId="52" applyFont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14" fontId="10" fillId="0" borderId="31" xfId="0" applyNumberFormat="1" applyFont="1" applyBorder="1" applyAlignment="1">
      <alignment horizontal="center" vertical="center" wrapText="1"/>
    </xf>
    <xf numFmtId="9" fontId="10" fillId="0" borderId="31" xfId="52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37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39" borderId="46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 vertical="center" wrapText="1"/>
    </xf>
    <xf numFmtId="0" fontId="9" fillId="39" borderId="48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10" fillId="39" borderId="59" xfId="0" applyFont="1" applyFill="1" applyBorder="1" applyAlignment="1">
      <alignment horizontal="center" vertical="center"/>
    </xf>
    <xf numFmtId="0" fontId="10" fillId="39" borderId="43" xfId="0" applyFont="1" applyFill="1" applyBorder="1" applyAlignment="1">
      <alignment horizontal="center" vertical="center"/>
    </xf>
    <xf numFmtId="0" fontId="10" fillId="39" borderId="43" xfId="0" applyFont="1" applyFill="1" applyBorder="1" applyAlignment="1">
      <alignment horizontal="center" vertical="center" wrapText="1"/>
    </xf>
    <xf numFmtId="14" fontId="10" fillId="39" borderId="43" xfId="0" applyNumberFormat="1" applyFont="1" applyFill="1" applyBorder="1" applyAlignment="1">
      <alignment horizontal="center" vertical="center"/>
    </xf>
    <xf numFmtId="0" fontId="9" fillId="39" borderId="60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 wrapText="1"/>
    </xf>
    <xf numFmtId="14" fontId="10" fillId="39" borderId="20" xfId="0" applyNumberFormat="1" applyFont="1" applyFill="1" applyBorder="1" applyAlignment="1">
      <alignment horizontal="center" vertical="center" wrapText="1"/>
    </xf>
    <xf numFmtId="9" fontId="10" fillId="39" borderId="20" xfId="52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/>
    </xf>
    <xf numFmtId="0" fontId="9" fillId="39" borderId="33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9" fontId="10" fillId="39" borderId="20" xfId="52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 wrapText="1"/>
    </xf>
    <xf numFmtId="0" fontId="0" fillId="33" borderId="51" xfId="0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9" fontId="0" fillId="33" borderId="2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5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33" borderId="32" xfId="0" applyFont="1" applyFill="1" applyBorder="1" applyAlignment="1">
      <alignment vertical="top"/>
    </xf>
    <xf numFmtId="0" fontId="2" fillId="33" borderId="61" xfId="0" applyFont="1" applyFill="1" applyBorder="1" applyAlignment="1">
      <alignment vertical="top"/>
    </xf>
    <xf numFmtId="0" fontId="19" fillId="37" borderId="37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/>
    </xf>
    <xf numFmtId="0" fontId="7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43" fontId="7" fillId="35" borderId="0" xfId="46" applyFont="1" applyFill="1" applyBorder="1" applyAlignment="1">
      <alignment vertical="center"/>
    </xf>
    <xf numFmtId="43" fontId="9" fillId="35" borderId="0" xfId="46" applyFont="1" applyFill="1" applyBorder="1" applyAlignment="1">
      <alignment vertical="center"/>
    </xf>
    <xf numFmtId="164" fontId="9" fillId="35" borderId="0" xfId="52" applyNumberFormat="1" applyFont="1" applyFill="1" applyAlignment="1">
      <alignment vertical="center"/>
    </xf>
    <xf numFmtId="43" fontId="9" fillId="35" borderId="0" xfId="46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18" fillId="0" borderId="57" xfId="0" applyFont="1" applyBorder="1" applyAlignment="1">
      <alignment/>
    </xf>
    <xf numFmtId="0" fontId="6" fillId="0" borderId="32" xfId="0" applyFont="1" applyBorder="1" applyAlignment="1">
      <alignment horizontal="justify" wrapText="1"/>
    </xf>
    <xf numFmtId="0" fontId="2" fillId="3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wrapText="1"/>
    </xf>
    <xf numFmtId="0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63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9" fillId="0" borderId="64" xfId="0" applyFont="1" applyBorder="1" applyAlignment="1">
      <alignment/>
    </xf>
    <xf numFmtId="168" fontId="0" fillId="0" borderId="55" xfId="0" applyNumberFormat="1" applyBorder="1" applyAlignment="1">
      <alignment vertical="center"/>
    </xf>
    <xf numFmtId="0" fontId="2" fillId="33" borderId="65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top" wrapText="1"/>
    </xf>
    <xf numFmtId="0" fontId="0" fillId="0" borderId="63" xfId="0" applyBorder="1" applyAlignment="1">
      <alignment vertical="center"/>
    </xf>
    <xf numFmtId="0" fontId="0" fillId="35" borderId="45" xfId="0" applyFill="1" applyBorder="1" applyAlignment="1">
      <alignment horizontal="center" vertical="center"/>
    </xf>
    <xf numFmtId="0" fontId="21" fillId="0" borderId="57" xfId="0" applyFont="1" applyBorder="1" applyAlignment="1">
      <alignment horizontal="justify" wrapText="1"/>
    </xf>
    <xf numFmtId="0" fontId="14" fillId="35" borderId="62" xfId="0" applyFont="1" applyFill="1" applyBorder="1" applyAlignment="1">
      <alignment horizontal="center" vertical="center"/>
    </xf>
    <xf numFmtId="0" fontId="0" fillId="35" borderId="33" xfId="0" applyNumberForma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5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0" fillId="33" borderId="59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9" fontId="0" fillId="33" borderId="43" xfId="0" applyNumberFormat="1" applyFont="1" applyFill="1" applyBorder="1" applyAlignment="1">
      <alignment horizontal="center" vertical="center" wrapText="1"/>
    </xf>
    <xf numFmtId="15" fontId="0" fillId="33" borderId="43" xfId="0" applyNumberFormat="1" applyFill="1" applyBorder="1" applyAlignment="1">
      <alignment horizontal="center" vertical="center" wrapText="1"/>
    </xf>
    <xf numFmtId="15" fontId="0" fillId="33" borderId="43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14" fontId="10" fillId="39" borderId="30" xfId="0" applyNumberFormat="1" applyFont="1" applyFill="1" applyBorder="1" applyAlignment="1">
      <alignment horizontal="center" vertical="center"/>
    </xf>
    <xf numFmtId="9" fontId="10" fillId="39" borderId="30" xfId="52" applyFont="1" applyFill="1" applyBorder="1" applyAlignment="1">
      <alignment horizontal="center" vertical="center"/>
    </xf>
    <xf numFmtId="0" fontId="10" fillId="39" borderId="30" xfId="0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/>
    </xf>
    <xf numFmtId="14" fontId="10" fillId="39" borderId="20" xfId="0" applyNumberFormat="1" applyFont="1" applyFill="1" applyBorder="1" applyAlignment="1">
      <alignment horizontal="center" vertical="center"/>
    </xf>
    <xf numFmtId="168" fontId="9" fillId="39" borderId="20" xfId="0" applyNumberFormat="1" applyFont="1" applyFill="1" applyBorder="1" applyAlignment="1">
      <alignment horizontal="center"/>
    </xf>
    <xf numFmtId="14" fontId="10" fillId="39" borderId="43" xfId="0" applyNumberFormat="1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/>
    </xf>
    <xf numFmtId="14" fontId="7" fillId="39" borderId="20" xfId="0" applyNumberFormat="1" applyFont="1" applyFill="1" applyBorder="1" applyAlignment="1">
      <alignment horizontal="center" wrapText="1"/>
    </xf>
    <xf numFmtId="9" fontId="8" fillId="39" borderId="20" xfId="0" applyNumberFormat="1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wrapText="1"/>
    </xf>
    <xf numFmtId="14" fontId="7" fillId="39" borderId="20" xfId="0" applyNumberFormat="1" applyFont="1" applyFill="1" applyBorder="1" applyAlignment="1">
      <alignment horizontal="center" wrapText="1"/>
    </xf>
    <xf numFmtId="2" fontId="9" fillId="39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9" fillId="36" borderId="4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5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17" fontId="13" fillId="0" borderId="20" xfId="0" applyNumberFormat="1" applyFont="1" applyBorder="1" applyAlignment="1">
      <alignment horizontal="center" vertical="center"/>
    </xf>
    <xf numFmtId="15" fontId="13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2" fontId="9" fillId="0" borderId="64" xfId="0" applyNumberFormat="1" applyFont="1" applyBorder="1" applyAlignment="1">
      <alignment/>
    </xf>
    <xf numFmtId="2" fontId="9" fillId="36" borderId="45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169" fontId="0" fillId="33" borderId="20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51" xfId="0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2" fontId="2" fillId="33" borderId="44" xfId="0" applyNumberFormat="1" applyFont="1" applyFill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 wrapText="1"/>
    </xf>
    <xf numFmtId="2" fontId="2" fillId="33" borderId="61" xfId="0" applyNumberFormat="1" applyFont="1" applyFill="1" applyBorder="1" applyAlignment="1">
      <alignment horizontal="center" vertical="center" wrapText="1"/>
    </xf>
    <xf numFmtId="9" fontId="0" fillId="33" borderId="20" xfId="0" applyNumberFormat="1" applyFont="1" applyFill="1" applyBorder="1" applyAlignment="1">
      <alignment horizontal="center" vertical="center" wrapText="1"/>
    </xf>
    <xf numFmtId="9" fontId="0" fillId="33" borderId="20" xfId="0" applyNumberFormat="1" applyFill="1" applyBorder="1" applyAlignment="1">
      <alignment horizontal="center" vertical="center" wrapText="1"/>
    </xf>
    <xf numFmtId="167" fontId="0" fillId="33" borderId="20" xfId="0" applyNumberFormat="1" applyFont="1" applyFill="1" applyBorder="1" applyAlignment="1">
      <alignment horizontal="center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168" fontId="0" fillId="33" borderId="20" xfId="0" applyNumberFormat="1" applyFont="1" applyFill="1" applyBorder="1" applyAlignment="1">
      <alignment horizontal="center" vertical="center" wrapText="1"/>
    </xf>
    <xf numFmtId="168" fontId="0" fillId="33" borderId="20" xfId="0" applyNumberForma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67" xfId="0" applyFont="1" applyFill="1" applyBorder="1" applyAlignment="1">
      <alignment horizontal="left" vertical="top" wrapText="1"/>
    </xf>
    <xf numFmtId="0" fontId="2" fillId="33" borderId="65" xfId="0" applyFont="1" applyFill="1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0" fillId="0" borderId="69" xfId="0" applyBorder="1" applyAlignment="1">
      <alignment horizontal="center" vertical="top"/>
    </xf>
    <xf numFmtId="0" fontId="0" fillId="33" borderId="24" xfId="0" applyFont="1" applyFill="1" applyBorder="1" applyAlignment="1">
      <alignment horizontal="left" vertical="top" wrapText="1" indent="1"/>
    </xf>
    <xf numFmtId="0" fontId="0" fillId="33" borderId="20" xfId="0" applyFill="1" applyBorder="1" applyAlignment="1">
      <alignment horizontal="left" vertical="top" wrapText="1" indent="1"/>
    </xf>
    <xf numFmtId="0" fontId="0" fillId="33" borderId="17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33" borderId="57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70" xfId="0" applyFont="1" applyFill="1" applyBorder="1" applyAlignment="1">
      <alignment horizontal="center" vertical="top" wrapText="1"/>
    </xf>
    <xf numFmtId="0" fontId="0" fillId="33" borderId="71" xfId="0" applyFont="1" applyFill="1" applyBorder="1" applyAlignment="1">
      <alignment horizontal="center" vertical="top" wrapText="1"/>
    </xf>
    <xf numFmtId="0" fontId="0" fillId="33" borderId="72" xfId="0" applyFont="1" applyFill="1" applyBorder="1" applyAlignment="1">
      <alignment horizontal="center" vertical="top" wrapText="1"/>
    </xf>
    <xf numFmtId="0" fontId="2" fillId="33" borderId="46" xfId="0" applyFont="1" applyFill="1" applyBorder="1" applyAlignment="1">
      <alignment horizontal="left" vertical="top" wrapText="1"/>
    </xf>
    <xf numFmtId="0" fontId="2" fillId="33" borderId="51" xfId="0" applyFont="1" applyFill="1" applyBorder="1" applyAlignment="1">
      <alignment horizontal="left" vertical="top" wrapText="1"/>
    </xf>
    <xf numFmtId="0" fontId="0" fillId="33" borderId="65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3" fontId="0" fillId="33" borderId="17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9" fontId="0" fillId="33" borderId="43" xfId="0" applyNumberFormat="1" applyFont="1" applyFill="1" applyBorder="1" applyAlignment="1">
      <alignment horizontal="center" vertical="center" wrapText="1"/>
    </xf>
    <xf numFmtId="9" fontId="0" fillId="33" borderId="43" xfId="0" applyNumberFormat="1" applyFill="1" applyBorder="1" applyAlignment="1">
      <alignment horizontal="center" vertical="center" wrapText="1"/>
    </xf>
    <xf numFmtId="167" fontId="0" fillId="33" borderId="43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/>
    </xf>
    <xf numFmtId="0" fontId="0" fillId="33" borderId="24" xfId="0" applyFill="1" applyBorder="1" applyAlignment="1">
      <alignment horizontal="left" vertical="top" wrapText="1" indent="1"/>
    </xf>
    <xf numFmtId="0" fontId="2" fillId="33" borderId="13" xfId="0" applyFont="1" applyFill="1" applyBorder="1" applyAlignment="1">
      <alignment horizontal="left" vertical="top" wrapText="1"/>
    </xf>
    <xf numFmtId="3" fontId="0" fillId="33" borderId="20" xfId="0" applyNumberFormat="1" applyFont="1" applyFill="1" applyBorder="1" applyAlignment="1">
      <alignment horizontal="center" vertical="center" wrapText="1"/>
    </xf>
    <xf numFmtId="9" fontId="0" fillId="33" borderId="25" xfId="0" applyNumberFormat="1" applyFont="1" applyFill="1" applyBorder="1" applyAlignment="1">
      <alignment horizontal="center" vertical="center" wrapText="1"/>
    </xf>
    <xf numFmtId="9" fontId="0" fillId="33" borderId="25" xfId="0" applyNumberFormat="1" applyFill="1" applyBorder="1" applyAlignment="1">
      <alignment horizontal="center" vertical="center" wrapText="1"/>
    </xf>
    <xf numFmtId="167" fontId="0" fillId="33" borderId="25" xfId="0" applyNumberFormat="1" applyFont="1" applyFill="1" applyBorder="1" applyAlignment="1">
      <alignment horizontal="center" vertical="center" wrapText="1"/>
    </xf>
    <xf numFmtId="3" fontId="0" fillId="33" borderId="25" xfId="0" applyNumberFormat="1" applyFont="1" applyFill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3" borderId="50" xfId="0" applyNumberFormat="1" applyFont="1" applyFill="1" applyBorder="1" applyAlignment="1">
      <alignment horizontal="center" vertical="center" wrapText="1"/>
    </xf>
    <xf numFmtId="3" fontId="0" fillId="33" borderId="43" xfId="0" applyNumberFormat="1" applyFont="1" applyFill="1" applyBorder="1" applyAlignment="1">
      <alignment horizontal="center" vertical="center" wrapText="1"/>
    </xf>
    <xf numFmtId="2" fontId="2" fillId="33" borderId="43" xfId="0" applyNumberFormat="1" applyFont="1" applyFill="1" applyBorder="1" applyAlignment="1">
      <alignment horizontal="center" vertical="center" wrapText="1"/>
    </xf>
    <xf numFmtId="2" fontId="2" fillId="33" borderId="60" xfId="0" applyNumberFormat="1" applyFont="1" applyFill="1" applyBorder="1" applyAlignment="1">
      <alignment horizontal="center" vertical="center" wrapText="1"/>
    </xf>
    <xf numFmtId="9" fontId="0" fillId="33" borderId="2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0" fillId="33" borderId="57" xfId="0" applyNumberFormat="1" applyFill="1" applyBorder="1" applyAlignment="1">
      <alignment horizontal="center" vertical="center" wrapText="1"/>
    </xf>
    <xf numFmtId="0" fontId="0" fillId="33" borderId="39" xfId="0" applyNumberFormat="1" applyFill="1" applyBorder="1" applyAlignment="1">
      <alignment horizontal="center" vertical="center" wrapText="1"/>
    </xf>
    <xf numFmtId="0" fontId="0" fillId="33" borderId="40" xfId="0" applyNumberForma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top"/>
    </xf>
    <xf numFmtId="0" fontId="2" fillId="33" borderId="32" xfId="0" applyFont="1" applyFill="1" applyBorder="1" applyAlignment="1">
      <alignment horizontal="center" vertical="top"/>
    </xf>
    <xf numFmtId="0" fontId="0" fillId="33" borderId="44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 wrapText="1"/>
    </xf>
    <xf numFmtId="0" fontId="0" fillId="33" borderId="61" xfId="0" applyFont="1" applyFill="1" applyBorder="1" applyAlignment="1">
      <alignment horizontal="center" vertical="top" wrapText="1"/>
    </xf>
    <xf numFmtId="0" fontId="20" fillId="35" borderId="57" xfId="0" applyFont="1" applyFill="1" applyBorder="1" applyAlignment="1">
      <alignment horizontal="center" vertical="center" wrapText="1"/>
    </xf>
    <xf numFmtId="0" fontId="20" fillId="35" borderId="39" xfId="0" applyFont="1" applyFill="1" applyBorder="1" applyAlignment="1">
      <alignment horizontal="center" vertical="center" wrapText="1"/>
    </xf>
    <xf numFmtId="0" fontId="20" fillId="35" borderId="40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0" fillId="33" borderId="5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75" xfId="0" applyFont="1" applyFill="1" applyBorder="1" applyAlignment="1">
      <alignment horizontal="center" vertical="top" wrapText="1"/>
    </xf>
    <xf numFmtId="0" fontId="2" fillId="33" borderId="67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168" fontId="0" fillId="33" borderId="25" xfId="0" applyNumberFormat="1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0" borderId="5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2" fillId="33" borderId="76" xfId="0" applyFont="1" applyFill="1" applyBorder="1" applyAlignment="1">
      <alignment horizontal="center" vertical="top" wrapText="1"/>
    </xf>
    <xf numFmtId="0" fontId="2" fillId="33" borderId="40" xfId="0" applyFont="1" applyFill="1" applyBorder="1" applyAlignment="1">
      <alignment horizontal="center" vertical="top" wrapText="1"/>
    </xf>
    <xf numFmtId="0" fontId="0" fillId="33" borderId="43" xfId="0" applyFont="1" applyFill="1" applyBorder="1" applyAlignment="1">
      <alignment horizontal="center" vertical="top" wrapText="1"/>
    </xf>
    <xf numFmtId="0" fontId="0" fillId="33" borderId="6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2" fillId="33" borderId="77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3"/>
  <sheetViews>
    <sheetView zoomScale="77" zoomScaleNormal="77" zoomScalePageLayoutView="0" workbookViewId="0" topLeftCell="A12">
      <selection activeCell="N33" sqref="N33"/>
    </sheetView>
  </sheetViews>
  <sheetFormatPr defaultColWidth="0" defaultRowHeight="14.25"/>
  <cols>
    <col min="1" max="1" width="10" style="1" customWidth="1"/>
    <col min="2" max="2" width="7.69921875" style="1" customWidth="1"/>
    <col min="3" max="3" width="10.296875" style="2" customWidth="1"/>
    <col min="4" max="4" width="8.59765625" style="1" customWidth="1"/>
    <col min="5" max="5" width="8.3984375" style="1" customWidth="1"/>
    <col min="6" max="6" width="5.69921875" style="1" customWidth="1"/>
    <col min="7" max="7" width="11.09765625" style="1" customWidth="1"/>
    <col min="8" max="8" width="10.296875" style="1" customWidth="1"/>
    <col min="9" max="9" width="10" style="1" customWidth="1"/>
    <col min="10" max="11" width="5.69921875" style="1" customWidth="1"/>
    <col min="12" max="12" width="8.296875" style="1" bestFit="1" customWidth="1"/>
    <col min="13" max="13" width="14.796875" style="1" customWidth="1"/>
    <col min="14" max="14" width="11.09765625" style="1" customWidth="1"/>
    <col min="15" max="15" width="5.69921875" style="1" customWidth="1"/>
    <col min="16" max="16" width="8.09765625" style="1" customWidth="1"/>
    <col min="17" max="20" width="5.69921875" style="1" customWidth="1"/>
    <col min="21" max="44" width="5.69921875" style="10" customWidth="1"/>
    <col min="45" max="45" width="5.69921875" style="11" customWidth="1"/>
    <col min="46" max="46" width="0" style="1" hidden="1" customWidth="1"/>
    <col min="47" max="16384" width="0" style="1" hidden="1" customWidth="1"/>
  </cols>
  <sheetData>
    <row r="1" spans="2:43" ht="14.25">
      <c r="B1" s="325" t="s">
        <v>4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7"/>
      <c r="AQ1" s="10" t="s">
        <v>6</v>
      </c>
    </row>
    <row r="2" spans="2:43" ht="14.25">
      <c r="B2" s="328" t="s">
        <v>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30"/>
      <c r="AQ2" s="10" t="s">
        <v>1</v>
      </c>
    </row>
    <row r="3" spans="2:19" ht="14.25">
      <c r="B3" s="328" t="s">
        <v>71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30"/>
    </row>
    <row r="4" spans="2:19" ht="14.25">
      <c r="B4" s="331" t="s">
        <v>70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3"/>
    </row>
    <row r="5" spans="2:19" ht="14.25">
      <c r="B5" s="33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3"/>
    </row>
    <row r="6" spans="2:19" ht="14.25">
      <c r="B6" s="48" t="s">
        <v>7</v>
      </c>
      <c r="C6" s="2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2:19" ht="14.25">
      <c r="B7" s="16"/>
      <c r="C7" s="25"/>
      <c r="D7" s="46"/>
      <c r="E7" s="46"/>
      <c r="F7" s="46"/>
      <c r="G7" s="46"/>
      <c r="H7" s="46"/>
      <c r="I7" s="46"/>
      <c r="J7" s="46"/>
      <c r="K7" s="46"/>
      <c r="L7" s="46"/>
      <c r="N7" s="46"/>
      <c r="O7" s="46"/>
      <c r="P7" s="46" t="s">
        <v>8</v>
      </c>
      <c r="Q7" s="46"/>
      <c r="R7" s="46"/>
      <c r="S7" s="47"/>
    </row>
    <row r="8" spans="2:45" ht="14.25">
      <c r="B8" s="334"/>
      <c r="C8" s="335"/>
      <c r="D8" s="336" t="s">
        <v>9</v>
      </c>
      <c r="E8" s="336"/>
      <c r="F8" s="336"/>
      <c r="G8" s="336"/>
      <c r="H8" s="336" t="s">
        <v>10</v>
      </c>
      <c r="I8" s="336"/>
      <c r="J8" s="337"/>
      <c r="K8" s="46"/>
      <c r="L8" s="46"/>
      <c r="M8" s="46"/>
      <c r="N8" s="46"/>
      <c r="O8" s="46"/>
      <c r="P8" s="46" t="s">
        <v>8</v>
      </c>
      <c r="Q8" s="46"/>
      <c r="R8" s="46"/>
      <c r="S8" s="47"/>
      <c r="AQ8" s="11"/>
      <c r="AR8" s="1"/>
      <c r="AS8" s="1"/>
    </row>
    <row r="9" spans="2:45" ht="14.25">
      <c r="B9" s="338"/>
      <c r="C9" s="339"/>
      <c r="D9" s="340">
        <v>14762556290</v>
      </c>
      <c r="E9" s="340"/>
      <c r="F9" s="340"/>
      <c r="G9" s="340"/>
      <c r="H9" s="341" t="s">
        <v>72</v>
      </c>
      <c r="I9" s="342"/>
      <c r="J9" s="343"/>
      <c r="K9" s="46"/>
      <c r="L9" s="46"/>
      <c r="M9" s="46"/>
      <c r="N9" s="46"/>
      <c r="O9" s="46"/>
      <c r="P9" s="46"/>
      <c r="Q9" s="46"/>
      <c r="R9" s="46"/>
      <c r="S9" s="47"/>
      <c r="AQ9" s="11"/>
      <c r="AR9" s="1"/>
      <c r="AS9" s="1"/>
    </row>
    <row r="10" spans="2:19" ht="14.25">
      <c r="B10" s="16"/>
      <c r="C10" s="2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spans="2:19" ht="14.25">
      <c r="B11" s="49" t="s">
        <v>80</v>
      </c>
      <c r="C11" s="18"/>
      <c r="D11" s="19"/>
      <c r="E11" s="20" t="s">
        <v>116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0"/>
    </row>
    <row r="12" spans="2:43" ht="14.25">
      <c r="B12" s="51" t="s">
        <v>11</v>
      </c>
      <c r="C12" s="18"/>
      <c r="D12" s="19"/>
      <c r="E12" s="344" t="str">
        <f>+'Exp. como constructor'!E12:S12</f>
        <v>Unión Temporal</v>
      </c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6"/>
      <c r="T12" s="17"/>
      <c r="AQ12" s="10" t="s">
        <v>2</v>
      </c>
    </row>
    <row r="13" spans="2:43" ht="14.25">
      <c r="B13" s="52" t="s">
        <v>12</v>
      </c>
      <c r="C13" s="22"/>
      <c r="D13" s="23">
        <v>1</v>
      </c>
      <c r="E13" s="24">
        <v>0.4</v>
      </c>
      <c r="F13" s="24" t="s">
        <v>117</v>
      </c>
      <c r="G13" s="21"/>
      <c r="H13" s="21"/>
      <c r="I13" s="21"/>
      <c r="J13" s="21"/>
      <c r="K13" s="21"/>
      <c r="L13" s="21"/>
      <c r="M13" s="21"/>
      <c r="N13" s="21"/>
      <c r="O13" s="234"/>
      <c r="P13" s="347"/>
      <c r="Q13" s="347"/>
      <c r="R13" s="347"/>
      <c r="S13" s="348"/>
      <c r="AM13" s="10" t="s">
        <v>13</v>
      </c>
      <c r="AQ13" s="10" t="s">
        <v>3</v>
      </c>
    </row>
    <row r="14" spans="2:43" ht="14.25">
      <c r="B14" s="16"/>
      <c r="C14" s="25"/>
      <c r="D14" s="26">
        <v>2</v>
      </c>
      <c r="E14" s="24">
        <v>0.15</v>
      </c>
      <c r="F14" s="24" t="s">
        <v>118</v>
      </c>
      <c r="G14" s="21"/>
      <c r="H14" s="21"/>
      <c r="I14" s="21"/>
      <c r="J14" s="21"/>
      <c r="K14" s="21"/>
      <c r="L14" s="21"/>
      <c r="M14" s="21"/>
      <c r="N14" s="21"/>
      <c r="O14" s="234"/>
      <c r="P14" s="347"/>
      <c r="Q14" s="347"/>
      <c r="R14" s="347"/>
      <c r="S14" s="348"/>
      <c r="AM14" s="10" t="s">
        <v>14</v>
      </c>
      <c r="AQ14" s="10" t="s">
        <v>15</v>
      </c>
    </row>
    <row r="15" spans="2:39" ht="14.25">
      <c r="B15" s="16"/>
      <c r="C15" s="25"/>
      <c r="D15" s="26">
        <v>3</v>
      </c>
      <c r="E15" s="24">
        <v>0.4</v>
      </c>
      <c r="F15" s="349" t="s">
        <v>119</v>
      </c>
      <c r="G15" s="349"/>
      <c r="H15" s="349"/>
      <c r="I15" s="349"/>
      <c r="J15" s="349"/>
      <c r="K15" s="349"/>
      <c r="L15" s="349"/>
      <c r="M15" s="349"/>
      <c r="N15" s="349"/>
      <c r="O15" s="349"/>
      <c r="P15" s="347"/>
      <c r="Q15" s="347"/>
      <c r="R15" s="347"/>
      <c r="S15" s="348"/>
      <c r="AM15" s="10" t="s">
        <v>16</v>
      </c>
    </row>
    <row r="16" spans="2:39" ht="14.25">
      <c r="B16" s="16"/>
      <c r="C16" s="25"/>
      <c r="D16" s="26">
        <v>4</v>
      </c>
      <c r="E16" s="24">
        <v>0.05</v>
      </c>
      <c r="F16" s="349" t="s">
        <v>120</v>
      </c>
      <c r="G16" s="349"/>
      <c r="H16" s="349"/>
      <c r="I16" s="349"/>
      <c r="J16" s="349"/>
      <c r="K16" s="349"/>
      <c r="L16" s="349"/>
      <c r="M16" s="349"/>
      <c r="N16" s="349"/>
      <c r="O16" s="349"/>
      <c r="P16" s="347"/>
      <c r="Q16" s="347"/>
      <c r="R16" s="347"/>
      <c r="S16" s="348"/>
      <c r="AM16" s="10" t="s">
        <v>17</v>
      </c>
    </row>
    <row r="17" spans="2:39" ht="14.25">
      <c r="B17" s="53"/>
      <c r="C17" s="27"/>
      <c r="D17" s="28"/>
      <c r="E17" s="24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7"/>
      <c r="Q17" s="347"/>
      <c r="R17" s="347"/>
      <c r="S17" s="348"/>
      <c r="AM17" s="10" t="s">
        <v>0</v>
      </c>
    </row>
    <row r="18" spans="2:39" ht="14.25">
      <c r="B18" s="6"/>
      <c r="C18" s="3"/>
      <c r="D18" s="7"/>
      <c r="E18" s="4">
        <f>SUM(E13:E17)</f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3"/>
      <c r="AM18" s="10" t="s">
        <v>18</v>
      </c>
    </row>
    <row r="19" spans="2:19" ht="15" thickBot="1">
      <c r="B19" s="6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3"/>
    </row>
    <row r="20" spans="2:19" ht="15" thickBot="1">
      <c r="B20" s="12" t="s">
        <v>85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/>
    </row>
    <row r="21" spans="2:19" ht="15" thickBot="1">
      <c r="B21" s="137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"/>
    </row>
    <row r="22" spans="2:45" s="31" customFormat="1" ht="100.5" customHeight="1">
      <c r="B22" s="141" t="s">
        <v>62</v>
      </c>
      <c r="C22" s="225" t="s">
        <v>19</v>
      </c>
      <c r="D22" s="226" t="s">
        <v>20</v>
      </c>
      <c r="E22" s="350" t="s">
        <v>21</v>
      </c>
      <c r="F22" s="350"/>
      <c r="G22" s="225" t="s">
        <v>22</v>
      </c>
      <c r="H22" s="226" t="s">
        <v>23</v>
      </c>
      <c r="I22" s="351" t="s">
        <v>24</v>
      </c>
      <c r="J22" s="350"/>
      <c r="K22" s="350"/>
      <c r="L22" s="351"/>
      <c r="M22" s="350"/>
      <c r="N22" s="351"/>
      <c r="O22" s="350"/>
      <c r="P22" s="350"/>
      <c r="Q22" s="352" t="s">
        <v>107</v>
      </c>
      <c r="R22" s="352"/>
      <c r="S22" s="35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2:45" s="31" customFormat="1" ht="14.25" customHeight="1">
      <c r="B23" s="29">
        <v>215</v>
      </c>
      <c r="C23" s="30">
        <v>4</v>
      </c>
      <c r="D23" s="140">
        <v>1</v>
      </c>
      <c r="E23" s="357">
        <f>+E16</f>
        <v>0.05</v>
      </c>
      <c r="F23" s="358"/>
      <c r="G23" s="33">
        <v>37148</v>
      </c>
      <c r="H23" s="34">
        <v>38178</v>
      </c>
      <c r="I23" s="359">
        <v>889586550</v>
      </c>
      <c r="J23" s="359"/>
      <c r="K23" s="359"/>
      <c r="L23" s="360"/>
      <c r="M23" s="360"/>
      <c r="N23" s="361"/>
      <c r="O23" s="362"/>
      <c r="P23" s="362"/>
      <c r="Q23" s="363" t="str">
        <f>+IF(D23&gt;=50%,IF(E23&gt;=5%,"VALIDO","NO VALIDO"),"NO VALIDO")</f>
        <v>VALIDO</v>
      </c>
      <c r="R23" s="363"/>
      <c r="S23" s="364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2:45" s="31" customFormat="1" ht="15" customHeight="1" thickBot="1">
      <c r="B24" s="118"/>
      <c r="C24" s="119"/>
      <c r="D24" s="120"/>
      <c r="E24" s="119"/>
      <c r="F24" s="119"/>
      <c r="G24" s="119"/>
      <c r="H24" s="120"/>
      <c r="I24" s="120"/>
      <c r="J24" s="119"/>
      <c r="K24" s="119"/>
      <c r="L24" s="120"/>
      <c r="M24" s="119"/>
      <c r="N24" s="119"/>
      <c r="O24" s="120"/>
      <c r="P24" s="136" t="s">
        <v>31</v>
      </c>
      <c r="Q24" s="354" t="str">
        <f>+Q23</f>
        <v>VALIDO</v>
      </c>
      <c r="R24" s="355"/>
      <c r="S24" s="356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</row>
    <row r="25" spans="2:45" s="31" customFormat="1" ht="15" thickBot="1">
      <c r="B25" s="365" t="s">
        <v>57</v>
      </c>
      <c r="C25" s="366"/>
      <c r="D25" s="36"/>
      <c r="E25" s="37"/>
      <c r="F25" s="37"/>
      <c r="G25" s="37"/>
      <c r="H25" s="36"/>
      <c r="I25" s="36"/>
      <c r="J25" s="37"/>
      <c r="K25" s="37"/>
      <c r="L25" s="36"/>
      <c r="M25" s="37"/>
      <c r="N25" s="37"/>
      <c r="O25" s="36"/>
      <c r="P25" s="37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2:19" ht="47.25" customHeight="1">
      <c r="B26" s="367" t="s">
        <v>86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9"/>
      <c r="N26" s="370" t="s">
        <v>63</v>
      </c>
      <c r="O26" s="371"/>
      <c r="P26" s="371"/>
      <c r="Q26" s="371"/>
      <c r="R26" s="371"/>
      <c r="S26" s="372"/>
    </row>
    <row r="27" spans="2:19" ht="14.25">
      <c r="B27" s="373" t="s">
        <v>82</v>
      </c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5" t="s">
        <v>63</v>
      </c>
      <c r="O27" s="376"/>
      <c r="P27" s="376"/>
      <c r="Q27" s="376"/>
      <c r="R27" s="376"/>
      <c r="S27" s="377"/>
    </row>
    <row r="28" spans="2:19" ht="14.25">
      <c r="B28" s="373" t="s">
        <v>83</v>
      </c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5" t="s">
        <v>63</v>
      </c>
      <c r="O28" s="376"/>
      <c r="P28" s="376"/>
      <c r="Q28" s="376"/>
      <c r="R28" s="376"/>
      <c r="S28" s="377"/>
    </row>
    <row r="29" spans="2:19" ht="30.75" customHeight="1">
      <c r="B29" s="373" t="s">
        <v>84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5" t="s">
        <v>63</v>
      </c>
      <c r="O29" s="376"/>
      <c r="P29" s="376"/>
      <c r="Q29" s="376"/>
      <c r="R29" s="376"/>
      <c r="S29" s="377"/>
    </row>
    <row r="30" spans="2:19" ht="30.75" customHeight="1" thickBot="1">
      <c r="B30" s="381" t="s">
        <v>121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3"/>
      <c r="N30" s="375" t="s">
        <v>63</v>
      </c>
      <c r="O30" s="376"/>
      <c r="P30" s="376"/>
      <c r="Q30" s="376"/>
      <c r="R30" s="376"/>
      <c r="S30" s="377"/>
    </row>
    <row r="31" spans="2:19" ht="36.75" customHeight="1" thickBot="1">
      <c r="B31" s="378" t="s">
        <v>87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/>
    </row>
    <row r="32" spans="2:19" ht="20.25" customHeight="1" thickBot="1">
      <c r="B32" s="7"/>
      <c r="C32" s="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ht="54.75" thickBot="1">
      <c r="B33" s="7"/>
      <c r="C33" s="3"/>
      <c r="D33" s="7"/>
      <c r="E33" s="7"/>
      <c r="F33" s="7"/>
      <c r="G33" s="7"/>
      <c r="H33" s="7"/>
      <c r="I33" s="7"/>
      <c r="J33" s="7"/>
      <c r="K33" s="7"/>
      <c r="L33" s="7"/>
      <c r="M33" s="274" t="s">
        <v>108</v>
      </c>
      <c r="N33" s="274" t="str">
        <f>+IF(Q24="NO VALIDO","NO ELEGIBLE","ELEGIBLE")</f>
        <v>ELEGIBLE</v>
      </c>
      <c r="O33" s="7"/>
      <c r="P33" s="7"/>
      <c r="Q33" s="7"/>
      <c r="R33" s="7"/>
      <c r="S33" s="7"/>
    </row>
  </sheetData>
  <sheetProtection/>
  <mergeCells count="42">
    <mergeCell ref="B31:S31"/>
    <mergeCell ref="B30:M30"/>
    <mergeCell ref="N30:S30"/>
    <mergeCell ref="B28:M28"/>
    <mergeCell ref="N28:S28"/>
    <mergeCell ref="B29:M29"/>
    <mergeCell ref="N29:S29"/>
    <mergeCell ref="B25:C25"/>
    <mergeCell ref="B26:M26"/>
    <mergeCell ref="N26:S26"/>
    <mergeCell ref="B27:M27"/>
    <mergeCell ref="N27:S27"/>
    <mergeCell ref="Q24:S24"/>
    <mergeCell ref="E23:F23"/>
    <mergeCell ref="I23:K23"/>
    <mergeCell ref="L23:M23"/>
    <mergeCell ref="N23:P23"/>
    <mergeCell ref="Q23:S23"/>
    <mergeCell ref="F17:O17"/>
    <mergeCell ref="P17:S17"/>
    <mergeCell ref="E22:F22"/>
    <mergeCell ref="I22:K22"/>
    <mergeCell ref="L22:M22"/>
    <mergeCell ref="N22:P22"/>
    <mergeCell ref="Q22:S22"/>
    <mergeCell ref="P14:S14"/>
    <mergeCell ref="F15:O15"/>
    <mergeCell ref="P15:S15"/>
    <mergeCell ref="F16:O16"/>
    <mergeCell ref="P16:S16"/>
    <mergeCell ref="B9:C9"/>
    <mergeCell ref="D9:G9"/>
    <mergeCell ref="H9:J9"/>
    <mergeCell ref="E12:S12"/>
    <mergeCell ref="P13:S13"/>
    <mergeCell ref="B1:S1"/>
    <mergeCell ref="B2:S2"/>
    <mergeCell ref="B3:S3"/>
    <mergeCell ref="B4:S5"/>
    <mergeCell ref="B8:C8"/>
    <mergeCell ref="D8:G8"/>
    <mergeCell ref="H8:J8"/>
  </mergeCells>
  <dataValidations count="3">
    <dataValidation type="list" allowBlank="1" showInputMessage="1" showErrorMessage="1" sqref="R28:R30 N26:N30 P28:P30">
      <formula1>$AQ$1:$AQ$2</formula1>
    </dataValidation>
    <dataValidation type="list" allowBlank="1" showInputMessage="1" showErrorMessage="1" sqref="P13:S17">
      <formula1>$AM$13:$AM$18</formula1>
    </dataValidation>
    <dataValidation type="list" allowBlank="1" showInputMessage="1" showErrorMessage="1" sqref="E12">
      <formula1>$AQ$12:$AQ$14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1"/>
  <sheetViews>
    <sheetView zoomScale="72" zoomScaleNormal="72" zoomScalePageLayoutView="0" workbookViewId="0" topLeftCell="A16">
      <selection activeCell="N36" sqref="N36:S36"/>
    </sheetView>
  </sheetViews>
  <sheetFormatPr defaultColWidth="0" defaultRowHeight="14.25"/>
  <cols>
    <col min="1" max="1" width="10" style="1" customWidth="1"/>
    <col min="2" max="2" width="7.69921875" style="1" customWidth="1"/>
    <col min="3" max="3" width="10.296875" style="2" customWidth="1"/>
    <col min="4" max="4" width="8.59765625" style="1" customWidth="1"/>
    <col min="5" max="5" width="8.3984375" style="1" customWidth="1"/>
    <col min="6" max="6" width="5.69921875" style="1" customWidth="1"/>
    <col min="7" max="7" width="11.09765625" style="1" customWidth="1"/>
    <col min="8" max="8" width="10.296875" style="1" customWidth="1"/>
    <col min="9" max="9" width="10" style="1" customWidth="1"/>
    <col min="10" max="11" width="5.69921875" style="1" customWidth="1"/>
    <col min="12" max="12" width="8.296875" style="1" bestFit="1" customWidth="1"/>
    <col min="13" max="13" width="15.09765625" style="1" customWidth="1"/>
    <col min="14" max="14" width="11.09765625" style="1" customWidth="1"/>
    <col min="15" max="15" width="5.69921875" style="1" customWidth="1"/>
    <col min="16" max="16" width="8.09765625" style="1" customWidth="1"/>
    <col min="17" max="20" width="5.69921875" style="1" customWidth="1"/>
    <col min="21" max="44" width="5.69921875" style="10" customWidth="1"/>
    <col min="45" max="45" width="5.69921875" style="11" customWidth="1"/>
    <col min="46" max="46" width="0" style="1" hidden="1" customWidth="1"/>
    <col min="47" max="16384" width="0" style="1" hidden="1" customWidth="1"/>
  </cols>
  <sheetData>
    <row r="1" spans="2:43" ht="14.25">
      <c r="B1" s="325" t="s">
        <v>4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7"/>
      <c r="AQ1" s="10" t="s">
        <v>6</v>
      </c>
    </row>
    <row r="2" spans="2:43" ht="14.25">
      <c r="B2" s="328" t="s">
        <v>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30"/>
      <c r="AQ2" s="10" t="s">
        <v>1</v>
      </c>
    </row>
    <row r="3" spans="2:19" ht="14.25">
      <c r="B3" s="328" t="s">
        <v>71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30"/>
    </row>
    <row r="4" spans="2:19" ht="14.25" customHeight="1">
      <c r="B4" s="331" t="s">
        <v>70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3"/>
    </row>
    <row r="5" spans="2:19" ht="14.25">
      <c r="B5" s="33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3"/>
    </row>
    <row r="6" spans="2:19" ht="14.25">
      <c r="B6" s="48" t="s">
        <v>7</v>
      </c>
      <c r="C6" s="2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2:19" ht="14.25">
      <c r="B7" s="16"/>
      <c r="C7" s="25"/>
      <c r="D7" s="46"/>
      <c r="E7" s="46"/>
      <c r="F7" s="46"/>
      <c r="G7" s="46"/>
      <c r="H7" s="46"/>
      <c r="I7" s="46"/>
      <c r="J7" s="46"/>
      <c r="K7" s="46"/>
      <c r="L7" s="46"/>
      <c r="N7" s="46"/>
      <c r="O7" s="46"/>
      <c r="P7" s="46" t="s">
        <v>8</v>
      </c>
      <c r="Q7" s="46"/>
      <c r="R7" s="46"/>
      <c r="S7" s="47"/>
    </row>
    <row r="8" spans="2:45" ht="14.25">
      <c r="B8" s="334"/>
      <c r="C8" s="335"/>
      <c r="D8" s="336" t="s">
        <v>9</v>
      </c>
      <c r="E8" s="336"/>
      <c r="F8" s="336"/>
      <c r="G8" s="336"/>
      <c r="H8" s="336" t="s">
        <v>10</v>
      </c>
      <c r="I8" s="336"/>
      <c r="J8" s="337"/>
      <c r="K8" s="46"/>
      <c r="L8" s="46"/>
      <c r="M8" s="46"/>
      <c r="N8" s="46"/>
      <c r="O8" s="46"/>
      <c r="P8" s="46" t="s">
        <v>8</v>
      </c>
      <c r="Q8" s="46"/>
      <c r="R8" s="46"/>
      <c r="S8" s="47"/>
      <c r="AQ8" s="11"/>
      <c r="AR8" s="1"/>
      <c r="AS8" s="1"/>
    </row>
    <row r="9" spans="2:45" ht="14.25">
      <c r="B9" s="338"/>
      <c r="C9" s="339"/>
      <c r="D9" s="340">
        <v>14762556290</v>
      </c>
      <c r="E9" s="340"/>
      <c r="F9" s="340"/>
      <c r="G9" s="340"/>
      <c r="H9" s="341" t="s">
        <v>72</v>
      </c>
      <c r="I9" s="342"/>
      <c r="J9" s="343"/>
      <c r="K9" s="46"/>
      <c r="L9" s="46"/>
      <c r="M9" s="46"/>
      <c r="N9" s="46"/>
      <c r="O9" s="46"/>
      <c r="P9" s="46"/>
      <c r="Q9" s="46"/>
      <c r="R9" s="46"/>
      <c r="S9" s="47"/>
      <c r="AQ9" s="11"/>
      <c r="AR9" s="1"/>
      <c r="AS9" s="1"/>
    </row>
    <row r="10" spans="2:19" ht="14.25">
      <c r="B10" s="16"/>
      <c r="C10" s="2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spans="2:19" ht="14.25">
      <c r="B11" s="49" t="s">
        <v>80</v>
      </c>
      <c r="C11" s="18"/>
      <c r="D11" s="19"/>
      <c r="E11" s="20" t="str">
        <f>+'Exp. como consultor'!E11</f>
        <v>UNION TEMPORAL GLOBAL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0"/>
    </row>
    <row r="12" spans="2:43" ht="14.25">
      <c r="B12" s="51" t="s">
        <v>11</v>
      </c>
      <c r="C12" s="18"/>
      <c r="D12" s="19"/>
      <c r="E12" s="344" t="s">
        <v>81</v>
      </c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6"/>
      <c r="T12" s="17"/>
      <c r="AQ12" s="10" t="s">
        <v>2</v>
      </c>
    </row>
    <row r="13" spans="2:43" ht="14.25">
      <c r="B13" s="52" t="s">
        <v>12</v>
      </c>
      <c r="C13" s="22"/>
      <c r="D13" s="23">
        <v>1</v>
      </c>
      <c r="E13" s="24">
        <f>+'Exp. como consultor'!E13</f>
        <v>0.4</v>
      </c>
      <c r="F13" s="410" t="str">
        <f>+'Exp. como consultor'!F13</f>
        <v>NELSON FERNANDO RANGEL PARDO</v>
      </c>
      <c r="G13" s="349"/>
      <c r="H13" s="349"/>
      <c r="I13" s="349"/>
      <c r="J13" s="349"/>
      <c r="K13" s="349"/>
      <c r="L13" s="349"/>
      <c r="M13" s="349"/>
      <c r="N13" s="349"/>
      <c r="O13" s="349"/>
      <c r="P13" s="347"/>
      <c r="Q13" s="347"/>
      <c r="R13" s="347"/>
      <c r="S13" s="348"/>
      <c r="AM13" s="10" t="s">
        <v>13</v>
      </c>
      <c r="AQ13" s="10" t="s">
        <v>3</v>
      </c>
    </row>
    <row r="14" spans="2:43" ht="14.25">
      <c r="B14" s="16"/>
      <c r="C14" s="25"/>
      <c r="D14" s="26">
        <v>2</v>
      </c>
      <c r="E14" s="24">
        <f>+'Exp. como consultor'!E14</f>
        <v>0.15</v>
      </c>
      <c r="F14" s="410" t="str">
        <f>+'Exp. como consultor'!F14</f>
        <v>ASEDING LTDA.</v>
      </c>
      <c r="G14" s="349"/>
      <c r="H14" s="349"/>
      <c r="I14" s="349"/>
      <c r="J14" s="349"/>
      <c r="K14" s="349"/>
      <c r="L14" s="349"/>
      <c r="M14" s="349"/>
      <c r="N14" s="349"/>
      <c r="O14" s="349"/>
      <c r="P14" s="347"/>
      <c r="Q14" s="347"/>
      <c r="R14" s="347"/>
      <c r="S14" s="348"/>
      <c r="AM14" s="10" t="s">
        <v>14</v>
      </c>
      <c r="AQ14" s="10" t="s">
        <v>15</v>
      </c>
    </row>
    <row r="15" spans="2:39" ht="14.25">
      <c r="B15" s="16"/>
      <c r="C15" s="25"/>
      <c r="D15" s="26">
        <v>3</v>
      </c>
      <c r="E15" s="24">
        <f>+'Exp. como consultor'!E15</f>
        <v>0.4</v>
      </c>
      <c r="F15" s="410" t="str">
        <f>+'Exp. como consultor'!F15</f>
        <v>R Y R INGENIEROS S.A.S</v>
      </c>
      <c r="G15" s="349"/>
      <c r="H15" s="349"/>
      <c r="I15" s="349"/>
      <c r="J15" s="349"/>
      <c r="K15" s="349"/>
      <c r="L15" s="349"/>
      <c r="M15" s="349"/>
      <c r="N15" s="349"/>
      <c r="O15" s="349"/>
      <c r="P15" s="347"/>
      <c r="Q15" s="347"/>
      <c r="R15" s="347"/>
      <c r="S15" s="348"/>
      <c r="AM15" s="10" t="s">
        <v>16</v>
      </c>
    </row>
    <row r="16" spans="2:39" ht="14.25">
      <c r="B16" s="16"/>
      <c r="C16" s="25"/>
      <c r="D16" s="26">
        <v>4</v>
      </c>
      <c r="E16" s="24">
        <f>+'Exp. como consultor'!E16</f>
        <v>0.05</v>
      </c>
      <c r="F16" s="410" t="str">
        <f>+'Exp. como consultor'!F16</f>
        <v>MOTTA &amp; RODRIGUEZ ARQUITECTOS ASOCIADOS LTDA.</v>
      </c>
      <c r="G16" s="349"/>
      <c r="H16" s="349"/>
      <c r="I16" s="349"/>
      <c r="J16" s="349"/>
      <c r="K16" s="349"/>
      <c r="L16" s="349"/>
      <c r="M16" s="349"/>
      <c r="N16" s="349"/>
      <c r="O16" s="349"/>
      <c r="P16" s="347"/>
      <c r="Q16" s="347"/>
      <c r="R16" s="347"/>
      <c r="S16" s="348"/>
      <c r="AM16" s="10" t="s">
        <v>17</v>
      </c>
    </row>
    <row r="17" spans="2:39" ht="14.25">
      <c r="B17" s="53"/>
      <c r="C17" s="27"/>
      <c r="D17" s="28"/>
      <c r="E17" s="24"/>
      <c r="F17" s="410"/>
      <c r="G17" s="349"/>
      <c r="H17" s="349"/>
      <c r="I17" s="349"/>
      <c r="J17" s="349"/>
      <c r="K17" s="349"/>
      <c r="L17" s="349"/>
      <c r="M17" s="349"/>
      <c r="N17" s="349"/>
      <c r="O17" s="349"/>
      <c r="P17" s="347"/>
      <c r="Q17" s="347"/>
      <c r="R17" s="347"/>
      <c r="S17" s="348"/>
      <c r="AM17" s="10" t="s">
        <v>0</v>
      </c>
    </row>
    <row r="18" spans="2:39" ht="14.25">
      <c r="B18" s="6"/>
      <c r="C18" s="3"/>
      <c r="D18" s="7"/>
      <c r="E18" s="4">
        <f>SUM(E13:E17)</f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3"/>
      <c r="AM18" s="10" t="s">
        <v>18</v>
      </c>
    </row>
    <row r="19" spans="2:19" ht="15" thickBot="1">
      <c r="B19" s="6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3"/>
    </row>
    <row r="20" spans="2:19" ht="15" thickBot="1">
      <c r="B20" s="12" t="s">
        <v>26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/>
    </row>
    <row r="21" spans="2:19" ht="15" thickBot="1">
      <c r="B21" s="137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"/>
    </row>
    <row r="22" spans="2:45" s="31" customFormat="1" ht="57" customHeight="1">
      <c r="B22" s="141" t="s">
        <v>62</v>
      </c>
      <c r="C22" s="142" t="s">
        <v>19</v>
      </c>
      <c r="D22" s="143" t="s">
        <v>20</v>
      </c>
      <c r="E22" s="350" t="s">
        <v>21</v>
      </c>
      <c r="F22" s="350"/>
      <c r="G22" s="142" t="s">
        <v>22</v>
      </c>
      <c r="H22" s="143" t="s">
        <v>23</v>
      </c>
      <c r="I22" s="351" t="s">
        <v>24</v>
      </c>
      <c r="J22" s="350"/>
      <c r="K22" s="350"/>
      <c r="L22" s="351" t="s">
        <v>122</v>
      </c>
      <c r="M22" s="350"/>
      <c r="N22" s="351" t="s">
        <v>125</v>
      </c>
      <c r="O22" s="350"/>
      <c r="P22" s="350"/>
      <c r="Q22" s="352" t="s">
        <v>107</v>
      </c>
      <c r="R22" s="352"/>
      <c r="S22" s="35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2:45" s="31" customFormat="1" ht="14.25" customHeight="1">
      <c r="B23" s="29">
        <v>218</v>
      </c>
      <c r="C23" s="30">
        <v>1</v>
      </c>
      <c r="D23" s="140">
        <v>0.39</v>
      </c>
      <c r="E23" s="357">
        <f>+E13</f>
        <v>0.4</v>
      </c>
      <c r="F23" s="358"/>
      <c r="G23" s="33">
        <v>37320</v>
      </c>
      <c r="H23" s="34">
        <v>38204</v>
      </c>
      <c r="I23" s="359">
        <v>2955884298</v>
      </c>
      <c r="J23" s="359"/>
      <c r="K23" s="359"/>
      <c r="L23" s="400">
        <v>4852.36</v>
      </c>
      <c r="M23" s="400"/>
      <c r="N23" s="361"/>
      <c r="O23" s="362"/>
      <c r="P23" s="362"/>
      <c r="Q23" s="363" t="str">
        <f>+IF(D23&gt;=35%,IF(E23&gt;=30%,"VALIDO","NO VALIDO"),"NO VALIDO")</f>
        <v>VALIDO</v>
      </c>
      <c r="R23" s="363"/>
      <c r="S23" s="364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2:19" ht="15" thickBot="1">
      <c r="B24" s="138">
        <v>235</v>
      </c>
      <c r="C24" s="290">
        <v>1</v>
      </c>
      <c r="D24" s="233">
        <v>0.39</v>
      </c>
      <c r="E24" s="401">
        <f>+E13</f>
        <v>0.4</v>
      </c>
      <c r="F24" s="402"/>
      <c r="G24" s="139">
        <v>37320</v>
      </c>
      <c r="H24" s="35">
        <v>37876</v>
      </c>
      <c r="I24" s="403">
        <v>2849710141</v>
      </c>
      <c r="J24" s="403"/>
      <c r="K24" s="403"/>
      <c r="L24" s="404">
        <v>6386</v>
      </c>
      <c r="M24" s="404"/>
      <c r="N24" s="390">
        <f>+L23+L24</f>
        <v>11238.36</v>
      </c>
      <c r="O24" s="391"/>
      <c r="P24" s="392"/>
      <c r="Q24" s="405" t="str">
        <f>+IF(D24&gt;=35%,IF(E24&gt;=30%,"VALIDO","NO VALIDO"),"NO VALIDO")</f>
        <v>VALIDO</v>
      </c>
      <c r="R24" s="405"/>
      <c r="S24" s="406"/>
    </row>
    <row r="25" spans="2:19" ht="14.25">
      <c r="B25" s="285">
        <v>250</v>
      </c>
      <c r="C25" s="286">
        <v>1</v>
      </c>
      <c r="D25" s="287">
        <v>0.5</v>
      </c>
      <c r="E25" s="393">
        <f>+E15</f>
        <v>0.4</v>
      </c>
      <c r="F25" s="394"/>
      <c r="G25" s="288">
        <v>36648</v>
      </c>
      <c r="H25" s="289">
        <v>37070</v>
      </c>
      <c r="I25" s="395">
        <v>1099626500</v>
      </c>
      <c r="J25" s="395"/>
      <c r="K25" s="395"/>
      <c r="L25" s="407">
        <v>10600</v>
      </c>
      <c r="M25" s="407"/>
      <c r="N25" s="390">
        <f>+L25</f>
        <v>10600</v>
      </c>
      <c r="O25" s="391"/>
      <c r="P25" s="392"/>
      <c r="Q25" s="408" t="str">
        <f>+IF(D25&gt;=35%,IF(E25&gt;=30%,"VALIDO","NO VALIDO"),"NO VALIDO")</f>
        <v>VALIDO</v>
      </c>
      <c r="R25" s="408"/>
      <c r="S25" s="409"/>
    </row>
    <row r="26" spans="2:45" s="31" customFormat="1" ht="15" thickBot="1">
      <c r="B26" s="118"/>
      <c r="C26" s="119"/>
      <c r="D26" s="120"/>
      <c r="E26" s="119"/>
      <c r="F26" s="119"/>
      <c r="G26" s="119"/>
      <c r="H26" s="120"/>
      <c r="I26" s="120"/>
      <c r="J26" s="119"/>
      <c r="K26" s="119"/>
      <c r="L26" s="120"/>
      <c r="M26" s="119"/>
      <c r="N26" s="119"/>
      <c r="O26" s="120"/>
      <c r="P26" s="136" t="s">
        <v>31</v>
      </c>
      <c r="Q26" s="354" t="str">
        <f>+IF(Q23="VALIDO",IF(Q24="VALIDO","VALIDO","NO VALIDO"),"NO VALIDO")</f>
        <v>VALIDO</v>
      </c>
      <c r="R26" s="355"/>
      <c r="S26" s="356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2:45" s="31" customFormat="1" ht="17.25" customHeight="1" thickBot="1">
      <c r="B27" s="365" t="s">
        <v>123</v>
      </c>
      <c r="C27" s="366"/>
      <c r="D27" s="36"/>
      <c r="E27" s="37"/>
      <c r="F27" s="37"/>
      <c r="G27" s="37"/>
      <c r="H27" s="36"/>
      <c r="I27" s="36"/>
      <c r="J27" s="37"/>
      <c r="K27" s="37"/>
      <c r="L27" s="36"/>
      <c r="M27" s="37"/>
      <c r="N27" s="37"/>
      <c r="O27" s="36"/>
      <c r="P27" s="37"/>
      <c r="Q27" s="36"/>
      <c r="R27" s="37"/>
      <c r="S27" s="6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2:19" ht="68.25" customHeight="1">
      <c r="B28" s="399" t="s">
        <v>73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9"/>
      <c r="N28" s="370" t="s">
        <v>63</v>
      </c>
      <c r="O28" s="371"/>
      <c r="P28" s="371"/>
      <c r="Q28" s="371"/>
      <c r="R28" s="371"/>
      <c r="S28" s="372"/>
    </row>
    <row r="29" spans="2:19" ht="14.25">
      <c r="B29" s="373" t="s">
        <v>74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5" t="s">
        <v>63</v>
      </c>
      <c r="O29" s="376"/>
      <c r="P29" s="376"/>
      <c r="Q29" s="376"/>
      <c r="R29" s="376"/>
      <c r="S29" s="377"/>
    </row>
    <row r="30" spans="2:19" ht="14.25">
      <c r="B30" s="398" t="s">
        <v>25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5" t="s">
        <v>63</v>
      </c>
      <c r="O30" s="376"/>
      <c r="P30" s="376"/>
      <c r="Q30" s="376"/>
      <c r="R30" s="376"/>
      <c r="S30" s="377"/>
    </row>
    <row r="31" spans="2:19" ht="33" customHeight="1" thickBot="1">
      <c r="B31" s="373" t="s">
        <v>75</v>
      </c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5" t="s">
        <v>63</v>
      </c>
      <c r="O31" s="376"/>
      <c r="P31" s="376"/>
      <c r="Q31" s="376"/>
      <c r="R31" s="376"/>
      <c r="S31" s="377"/>
    </row>
    <row r="32" spans="2:19" ht="14.25">
      <c r="B32" s="384" t="s">
        <v>124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6"/>
      <c r="O32" s="371"/>
      <c r="P32" s="371">
        <f>N32</f>
        <v>0</v>
      </c>
      <c r="Q32" s="371"/>
      <c r="R32" s="371">
        <f>N32</f>
        <v>0</v>
      </c>
      <c r="S32" s="372"/>
    </row>
    <row r="33" spans="2:19" ht="45" customHeight="1">
      <c r="B33" s="387" t="s">
        <v>76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9"/>
      <c r="N33" s="375" t="s">
        <v>63</v>
      </c>
      <c r="O33" s="396"/>
      <c r="P33" s="396"/>
      <c r="Q33" s="396"/>
      <c r="R33" s="396"/>
      <c r="S33" s="397"/>
    </row>
    <row r="34" spans="2:19" ht="18.75" customHeight="1">
      <c r="B34" s="373" t="s">
        <v>77</v>
      </c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5" t="s">
        <v>63</v>
      </c>
      <c r="O34" s="376"/>
      <c r="P34" s="376"/>
      <c r="Q34" s="376"/>
      <c r="R34" s="376"/>
      <c r="S34" s="377"/>
    </row>
    <row r="35" spans="2:19" ht="17.25" customHeight="1">
      <c r="B35" s="373" t="s">
        <v>58</v>
      </c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5" t="s">
        <v>63</v>
      </c>
      <c r="O35" s="376"/>
      <c r="P35" s="376"/>
      <c r="Q35" s="376"/>
      <c r="R35" s="376"/>
      <c r="S35" s="377"/>
    </row>
    <row r="36" spans="2:19" ht="63" customHeight="1" thickBot="1">
      <c r="B36" s="373" t="s">
        <v>78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5" t="s">
        <v>63</v>
      </c>
      <c r="O36" s="376"/>
      <c r="P36" s="376"/>
      <c r="Q36" s="376"/>
      <c r="R36" s="376"/>
      <c r="S36" s="377"/>
    </row>
    <row r="37" spans="2:19" ht="78.75" customHeight="1" thickBot="1">
      <c r="B37" s="378" t="s">
        <v>79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80"/>
    </row>
    <row r="38" spans="2:19" ht="14.25">
      <c r="B38" s="7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14.25">
      <c r="B39" s="7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ht="15" thickBot="1"/>
    <row r="41" spans="13:14" ht="54.75" thickBot="1">
      <c r="M41" s="274" t="s">
        <v>108</v>
      </c>
      <c r="N41" s="274" t="str">
        <f>+IF(Q26="NO VALIDO","NO ELEGIBLE","ELEGIBLE")</f>
        <v>ELEGIBLE</v>
      </c>
    </row>
  </sheetData>
  <sheetProtection/>
  <mergeCells count="62">
    <mergeCell ref="B9:C9"/>
    <mergeCell ref="D9:G9"/>
    <mergeCell ref="H9:J9"/>
    <mergeCell ref="E12:S12"/>
    <mergeCell ref="F13:O13"/>
    <mergeCell ref="P13:S13"/>
    <mergeCell ref="F14:O14"/>
    <mergeCell ref="P14:S14"/>
    <mergeCell ref="F15:O15"/>
    <mergeCell ref="P15:S15"/>
    <mergeCell ref="F16:O16"/>
    <mergeCell ref="P16:S16"/>
    <mergeCell ref="B1:S1"/>
    <mergeCell ref="B2:S2"/>
    <mergeCell ref="B3:S3"/>
    <mergeCell ref="B8:C8"/>
    <mergeCell ref="D8:G8"/>
    <mergeCell ref="H8:J8"/>
    <mergeCell ref="B4:S5"/>
    <mergeCell ref="E22:F22"/>
    <mergeCell ref="I22:K22"/>
    <mergeCell ref="N22:P22"/>
    <mergeCell ref="L22:M22"/>
    <mergeCell ref="F17:O17"/>
    <mergeCell ref="P17:S17"/>
    <mergeCell ref="B28:M28"/>
    <mergeCell ref="N28:S28"/>
    <mergeCell ref="B29:M29"/>
    <mergeCell ref="N29:S29"/>
    <mergeCell ref="E23:F23"/>
    <mergeCell ref="I23:K23"/>
    <mergeCell ref="N23:P23"/>
    <mergeCell ref="L23:M23"/>
    <mergeCell ref="E24:F24"/>
    <mergeCell ref="I24:K24"/>
    <mergeCell ref="L24:M24"/>
    <mergeCell ref="B27:C27"/>
    <mergeCell ref="Q24:S24"/>
    <mergeCell ref="L25:M25"/>
    <mergeCell ref="N25:P25"/>
    <mergeCell ref="Q25:S25"/>
    <mergeCell ref="N33:S33"/>
    <mergeCell ref="B30:M30"/>
    <mergeCell ref="N30:S30"/>
    <mergeCell ref="B31:M31"/>
    <mergeCell ref="N31:S31"/>
    <mergeCell ref="B37:S37"/>
    <mergeCell ref="Q22:S22"/>
    <mergeCell ref="Q23:S23"/>
    <mergeCell ref="Q26:S26"/>
    <mergeCell ref="B34:M34"/>
    <mergeCell ref="N34:S34"/>
    <mergeCell ref="B35:M35"/>
    <mergeCell ref="N35:S35"/>
    <mergeCell ref="B36:M36"/>
    <mergeCell ref="N36:S36"/>
    <mergeCell ref="B32:M32"/>
    <mergeCell ref="N32:S32"/>
    <mergeCell ref="B33:M33"/>
    <mergeCell ref="N24:P24"/>
    <mergeCell ref="E25:F25"/>
    <mergeCell ref="I25:K25"/>
  </mergeCells>
  <dataValidations count="3">
    <dataValidation type="list" allowBlank="1" showInputMessage="1" showErrorMessage="1" sqref="O32:R32 P34:P36 R34:R36 N28:N36 R30:R31 P30:P31">
      <formula1>$AQ$1:$AQ$2</formula1>
    </dataValidation>
    <dataValidation type="list" allowBlank="1" showInputMessage="1" showErrorMessage="1" sqref="E12">
      <formula1>$AQ$12:$AQ$14</formula1>
    </dataValidation>
    <dataValidation type="list" allowBlank="1" showInputMessage="1" showErrorMessage="1" sqref="P13:S17">
      <formula1>$AM$13:$AM$18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1"/>
  <sheetViews>
    <sheetView zoomScale="81" zoomScaleNormal="81" zoomScalePageLayoutView="0" workbookViewId="0" topLeftCell="A51">
      <selection activeCell="K80" sqref="K80"/>
    </sheetView>
  </sheetViews>
  <sheetFormatPr defaultColWidth="11.19921875" defaultRowHeight="14.25"/>
  <cols>
    <col min="2" max="2" width="16.19921875" style="0" customWidth="1"/>
    <col min="3" max="3" width="16.296875" style="0" customWidth="1"/>
    <col min="4" max="4" width="13.69921875" style="0" customWidth="1"/>
    <col min="12" max="12" width="14.3984375" style="0" bestFit="1" customWidth="1"/>
  </cols>
  <sheetData>
    <row r="1" spans="8:19" ht="15" thickBot="1"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2:45" s="1" customFormat="1" ht="14.25">
      <c r="B2" s="325" t="s">
        <v>4</v>
      </c>
      <c r="C2" s="326"/>
      <c r="D2" s="326"/>
      <c r="E2" s="326"/>
      <c r="F2" s="236"/>
      <c r="G2" s="237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7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 t="s">
        <v>6</v>
      </c>
      <c r="AR2" s="10"/>
      <c r="AS2" s="11"/>
    </row>
    <row r="3" spans="2:45" s="1" customFormat="1" ht="14.25">
      <c r="B3" s="328" t="s">
        <v>5</v>
      </c>
      <c r="C3" s="329"/>
      <c r="D3" s="329"/>
      <c r="E3" s="329"/>
      <c r="F3" s="238"/>
      <c r="G3" s="239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 t="s">
        <v>1</v>
      </c>
      <c r="AR3" s="10"/>
      <c r="AS3" s="11"/>
    </row>
    <row r="4" spans="2:45" s="1" customFormat="1" ht="15" thickBot="1">
      <c r="B4" s="422" t="s">
        <v>71</v>
      </c>
      <c r="C4" s="423"/>
      <c r="D4" s="423"/>
      <c r="E4" s="423"/>
      <c r="F4" s="240"/>
      <c r="G4" s="241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7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1"/>
    </row>
    <row r="5" spans="2:45" s="1" customFormat="1" ht="14.25">
      <c r="B5" s="222"/>
      <c r="C5" s="222"/>
      <c r="D5" s="222"/>
      <c r="E5" s="222"/>
      <c r="F5" s="222"/>
      <c r="G5" s="222"/>
      <c r="H5" s="223"/>
      <c r="I5" s="223"/>
      <c r="J5" s="223"/>
      <c r="K5" s="223"/>
      <c r="L5" s="15"/>
      <c r="M5" s="44"/>
      <c r="N5" s="44"/>
      <c r="O5" s="44"/>
      <c r="P5" s="44"/>
      <c r="Q5" s="44"/>
      <c r="R5" s="44"/>
      <c r="S5" s="4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</row>
    <row r="6" spans="2:45" s="1" customFormat="1" ht="15" thickBot="1"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15"/>
      <c r="M6" s="44"/>
      <c r="N6" s="44"/>
      <c r="O6" s="44"/>
      <c r="P6" s="44"/>
      <c r="Q6" s="44"/>
      <c r="R6" s="44"/>
      <c r="S6" s="4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1"/>
    </row>
    <row r="7" spans="1:45" s="1" customFormat="1" ht="51.75" customHeight="1" thickBot="1">
      <c r="A7" s="419" t="s">
        <v>92</v>
      </c>
      <c r="B7" s="420"/>
      <c r="C7" s="420"/>
      <c r="D7" s="420"/>
      <c r="E7" s="420"/>
      <c r="F7" s="420"/>
      <c r="G7" s="420"/>
      <c r="H7" s="420"/>
      <c r="I7" s="420"/>
      <c r="J7" s="421"/>
      <c r="K7" s="223"/>
      <c r="L7" s="15"/>
      <c r="M7" s="44"/>
      <c r="N7" s="44"/>
      <c r="O7" s="44"/>
      <c r="P7" s="44"/>
      <c r="Q7" s="44"/>
      <c r="R7" s="44"/>
      <c r="S7" s="4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1"/>
    </row>
    <row r="8" spans="1:45" s="1" customFormat="1" ht="65.25" customHeight="1" thickBot="1">
      <c r="A8" s="419" t="s">
        <v>93</v>
      </c>
      <c r="B8" s="420"/>
      <c r="C8" s="420"/>
      <c r="D8" s="420"/>
      <c r="E8" s="420"/>
      <c r="F8" s="420"/>
      <c r="G8" s="420"/>
      <c r="H8" s="420"/>
      <c r="I8" s="420"/>
      <c r="J8" s="421"/>
      <c r="K8" s="223"/>
      <c r="L8" s="15"/>
      <c r="M8" s="44"/>
      <c r="N8" s="44"/>
      <c r="O8" s="44"/>
      <c r="P8" s="44"/>
      <c r="Q8" s="44"/>
      <c r="R8" s="44"/>
      <c r="S8" s="4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1"/>
    </row>
    <row r="9" ht="15" thickBot="1"/>
    <row r="10" spans="1:23" ht="15" thickBot="1">
      <c r="A10" s="79" t="s">
        <v>64</v>
      </c>
      <c r="B10" s="79"/>
      <c r="C10" s="80"/>
      <c r="D10" s="81" t="s">
        <v>129</v>
      </c>
      <c r="E10" s="81"/>
      <c r="F10" s="82"/>
      <c r="G10" s="83"/>
      <c r="H10" s="84"/>
      <c r="I10" s="86"/>
      <c r="J10" s="85"/>
      <c r="K10" s="87"/>
      <c r="L10" s="88"/>
      <c r="M10" s="88"/>
      <c r="N10" s="89"/>
      <c r="O10" s="89"/>
      <c r="P10" s="89"/>
      <c r="Q10" s="89"/>
      <c r="R10" s="89"/>
      <c r="S10" s="89"/>
      <c r="T10" s="89"/>
      <c r="U10" s="89"/>
      <c r="V10" s="89"/>
      <c r="W10" s="89"/>
    </row>
    <row r="11" spans="1:23" ht="15" thickBot="1">
      <c r="A11" s="89"/>
      <c r="B11" s="89"/>
      <c r="C11" s="90"/>
      <c r="D11" s="90"/>
      <c r="E11" s="91"/>
      <c r="F11" s="91"/>
      <c r="G11" s="91"/>
      <c r="H11" s="84"/>
      <c r="I11" s="86"/>
      <c r="J11" s="85"/>
      <c r="K11" s="85"/>
      <c r="L11" s="88"/>
      <c r="M11" s="88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3" ht="15" thickBot="1">
      <c r="A12" s="92" t="s">
        <v>43</v>
      </c>
      <c r="B12" s="93"/>
      <c r="C12" s="93"/>
      <c r="D12" s="93"/>
      <c r="E12" s="94"/>
      <c r="F12" s="94"/>
      <c r="G12" s="88"/>
      <c r="H12" s="88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</row>
    <row r="13" spans="1:23" ht="15">
      <c r="A13" s="97" t="s">
        <v>44</v>
      </c>
      <c r="B13" s="98" t="s">
        <v>45</v>
      </c>
      <c r="C13" s="98" t="s">
        <v>46</v>
      </c>
      <c r="D13" s="99" t="s">
        <v>47</v>
      </c>
      <c r="E13" s="100"/>
      <c r="F13" s="413" t="s">
        <v>48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ht="15" thickBot="1">
      <c r="A14" s="101" t="s">
        <v>88</v>
      </c>
      <c r="B14" s="102" t="s">
        <v>49</v>
      </c>
      <c r="C14" s="102" t="s">
        <v>50</v>
      </c>
      <c r="D14" s="103" t="s">
        <v>51</v>
      </c>
      <c r="E14" s="104" t="s">
        <v>52</v>
      </c>
      <c r="F14" s="414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</row>
    <row r="15" spans="1:23" s="106" customFormat="1" ht="15.75" thickBot="1">
      <c r="A15" s="107">
        <v>254</v>
      </c>
      <c r="B15" s="108" t="s">
        <v>126</v>
      </c>
      <c r="C15" s="109">
        <v>28824</v>
      </c>
      <c r="D15" s="110" t="s">
        <v>127</v>
      </c>
      <c r="E15" s="111">
        <v>29392</v>
      </c>
      <c r="F15" s="112" t="s">
        <v>41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</row>
    <row r="16" spans="1:23" s="106" customFormat="1" ht="15">
      <c r="A16" s="309"/>
      <c r="B16" s="309"/>
      <c r="C16" s="92" t="s">
        <v>137</v>
      </c>
      <c r="D16" s="309"/>
      <c r="E16" s="310"/>
      <c r="F16" s="311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</row>
    <row r="17" spans="1:23" s="106" customFormat="1" ht="45">
      <c r="A17" s="312">
        <v>256</v>
      </c>
      <c r="B17" s="313" t="s">
        <v>138</v>
      </c>
      <c r="C17" s="314">
        <v>34797</v>
      </c>
      <c r="D17" s="312"/>
      <c r="E17" s="315"/>
      <c r="F17" s="316" t="s">
        <v>41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9" ht="15" thickBot="1"/>
    <row r="20" spans="1:11" ht="38.25" customHeight="1">
      <c r="A20" s="71" t="s">
        <v>89</v>
      </c>
      <c r="B20" s="72"/>
      <c r="C20" s="72"/>
      <c r="D20" s="61"/>
      <c r="E20" s="415" t="s">
        <v>54</v>
      </c>
      <c r="F20" s="416"/>
      <c r="G20" s="73" t="s">
        <v>35</v>
      </c>
      <c r="H20" s="61" t="s">
        <v>36</v>
      </c>
      <c r="I20" s="74" t="s">
        <v>37</v>
      </c>
      <c r="J20" s="411" t="s">
        <v>38</v>
      </c>
      <c r="K20" s="74" t="s">
        <v>53</v>
      </c>
    </row>
    <row r="21" spans="1:11" ht="23.25" thickBot="1">
      <c r="A21" s="144"/>
      <c r="B21" s="145"/>
      <c r="C21" s="145"/>
      <c r="D21" s="146"/>
      <c r="E21" s="147" t="s">
        <v>39</v>
      </c>
      <c r="F21" s="148" t="s">
        <v>40</v>
      </c>
      <c r="G21" s="149"/>
      <c r="H21" s="150"/>
      <c r="I21" s="151"/>
      <c r="J21" s="412"/>
      <c r="K21" s="114"/>
    </row>
    <row r="22" spans="1:10" ht="24">
      <c r="A22" s="155">
        <v>261</v>
      </c>
      <c r="B22" s="156"/>
      <c r="C22" s="157"/>
      <c r="D22" s="157"/>
      <c r="E22" s="158">
        <v>29710</v>
      </c>
      <c r="F22" s="158">
        <v>30678</v>
      </c>
      <c r="G22" s="168">
        <v>1</v>
      </c>
      <c r="H22" s="169" t="s">
        <v>128</v>
      </c>
      <c r="I22" s="179">
        <f>ROUND((DAYS360(E22,F22)/30),1)*G22</f>
        <v>31.8</v>
      </c>
      <c r="J22" s="159" t="s">
        <v>41</v>
      </c>
    </row>
    <row r="23" spans="1:11" ht="14.25">
      <c r="A23" s="160">
        <v>261</v>
      </c>
      <c r="B23" s="152"/>
      <c r="C23" s="115"/>
      <c r="D23" s="115"/>
      <c r="E23" s="153">
        <v>30681</v>
      </c>
      <c r="F23" s="153">
        <v>31686</v>
      </c>
      <c r="G23" s="117">
        <v>1</v>
      </c>
      <c r="H23" s="115" t="s">
        <v>67</v>
      </c>
      <c r="I23" s="180">
        <f>ROUND((DAYS360(E23,F23)/30),1)*G23</f>
        <v>33</v>
      </c>
      <c r="J23" s="65" t="s">
        <v>41</v>
      </c>
      <c r="K23" t="str">
        <f>+IF(E23&gt;=F22,"OK","TRASLAPO")</f>
        <v>OK</v>
      </c>
    </row>
    <row r="24" spans="1:11" ht="14.25">
      <c r="A24" s="160">
        <v>262</v>
      </c>
      <c r="B24" s="152"/>
      <c r="C24" s="115"/>
      <c r="D24" s="115"/>
      <c r="E24" s="116">
        <v>32016</v>
      </c>
      <c r="F24" s="116">
        <v>32871</v>
      </c>
      <c r="G24" s="117">
        <v>1</v>
      </c>
      <c r="H24" s="115" t="s">
        <v>67</v>
      </c>
      <c r="I24" s="180">
        <f>ROUND((DAYS360(E24,F24)/30),1)*G24</f>
        <v>28.1</v>
      </c>
      <c r="J24" s="65" t="s">
        <v>41</v>
      </c>
      <c r="K24" t="str">
        <f>+IF(E24&gt;=F23,"OK","TRASLAPO")</f>
        <v>OK</v>
      </c>
    </row>
    <row r="25" spans="1:11" ht="14.25">
      <c r="A25" s="160">
        <v>262</v>
      </c>
      <c r="B25" s="152"/>
      <c r="C25" s="115"/>
      <c r="D25" s="115"/>
      <c r="E25" s="153">
        <v>32873</v>
      </c>
      <c r="F25" s="153">
        <v>33418</v>
      </c>
      <c r="G25" s="117">
        <v>1</v>
      </c>
      <c r="H25" s="152" t="s">
        <v>67</v>
      </c>
      <c r="I25" s="180">
        <f>ROUND((DAYS360(E25,F25)/30),1)*G25</f>
        <v>18</v>
      </c>
      <c r="J25" s="65" t="s">
        <v>41</v>
      </c>
      <c r="K25" t="str">
        <f>+IF(E25&gt;=F24,"OK","TRASLAPO")</f>
        <v>OK</v>
      </c>
    </row>
    <row r="26" spans="1:11" ht="14.25">
      <c r="A26" s="160">
        <v>262</v>
      </c>
      <c r="B26" s="152"/>
      <c r="C26" s="115"/>
      <c r="D26" s="115"/>
      <c r="E26" s="153">
        <v>33419</v>
      </c>
      <c r="F26" s="153">
        <v>33968</v>
      </c>
      <c r="G26" s="117">
        <v>1</v>
      </c>
      <c r="H26" s="152" t="s">
        <v>67</v>
      </c>
      <c r="I26" s="180">
        <f>ROUND((DAYS360(E26,F26)/30),1)*G26</f>
        <v>18</v>
      </c>
      <c r="J26" s="65" t="s">
        <v>41</v>
      </c>
      <c r="K26" t="str">
        <f>+IF(E26&gt;=F25,"OK","TRASLAPO")</f>
        <v>OK</v>
      </c>
    </row>
    <row r="27" spans="7:10" ht="15" thickBot="1">
      <c r="G27" s="154"/>
      <c r="H27" s="152"/>
      <c r="I27" s="166"/>
      <c r="J27" s="167"/>
    </row>
    <row r="28" spans="1:11" ht="15" thickBot="1">
      <c r="A28" s="161" t="s">
        <v>42</v>
      </c>
      <c r="B28" s="162"/>
      <c r="C28" s="162"/>
      <c r="D28" s="162"/>
      <c r="E28" s="163"/>
      <c r="F28" s="163"/>
      <c r="G28" s="164"/>
      <c r="H28" s="165"/>
      <c r="I28" s="181">
        <f>SUM(I22:I27)</f>
        <v>128.9</v>
      </c>
      <c r="J28" s="70">
        <f>SUMIF(J22:J27,"SI",I22:I27)</f>
        <v>128.9</v>
      </c>
      <c r="K28" s="170" t="str">
        <f>+IF(J28&gt;=120,"ok","no pasa")</f>
        <v>ok</v>
      </c>
    </row>
    <row r="30" ht="15" thickBot="1"/>
    <row r="31" spans="1:23" ht="15" thickBot="1">
      <c r="A31" s="79" t="s">
        <v>90</v>
      </c>
      <c r="B31" s="79"/>
      <c r="C31" s="80"/>
      <c r="D31" s="81" t="s">
        <v>130</v>
      </c>
      <c r="E31" s="81"/>
      <c r="F31" s="82"/>
      <c r="G31" s="83"/>
      <c r="H31" s="84"/>
      <c r="I31" s="86"/>
      <c r="J31" s="85"/>
      <c r="K31" s="87"/>
      <c r="L31" s="88"/>
      <c r="M31" s="88"/>
      <c r="N31" s="89"/>
      <c r="O31" s="89"/>
      <c r="P31" s="89"/>
      <c r="Q31" s="89"/>
      <c r="R31" s="89"/>
      <c r="S31" s="89"/>
      <c r="T31" s="89"/>
      <c r="U31" s="89"/>
      <c r="V31" s="89"/>
      <c r="W31" s="89"/>
    </row>
    <row r="32" spans="1:23" ht="15" thickBot="1">
      <c r="A32" s="89"/>
      <c r="B32" s="89"/>
      <c r="C32" s="90"/>
      <c r="D32" s="90"/>
      <c r="E32" s="91"/>
      <c r="F32" s="91"/>
      <c r="G32" s="91"/>
      <c r="H32" s="84"/>
      <c r="I32" s="86"/>
      <c r="J32" s="85"/>
      <c r="K32" s="85"/>
      <c r="L32" s="88"/>
      <c r="M32" s="88"/>
      <c r="N32" s="89"/>
      <c r="O32" s="89"/>
      <c r="P32" s="89"/>
      <c r="Q32" s="89"/>
      <c r="R32" s="89"/>
      <c r="S32" s="89"/>
      <c r="T32" s="89"/>
      <c r="U32" s="89"/>
      <c r="V32" s="89"/>
      <c r="W32" s="89"/>
    </row>
    <row r="33" spans="1:23" ht="15" thickBot="1">
      <c r="A33" s="175" t="s">
        <v>43</v>
      </c>
      <c r="B33" s="176"/>
      <c r="C33" s="176"/>
      <c r="D33" s="176"/>
      <c r="E33" s="177"/>
      <c r="F33" s="178"/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</row>
    <row r="34" spans="1:23" ht="15">
      <c r="A34" s="171" t="s">
        <v>44</v>
      </c>
      <c r="B34" s="172" t="s">
        <v>45</v>
      </c>
      <c r="C34" s="172" t="s">
        <v>46</v>
      </c>
      <c r="D34" s="173" t="s">
        <v>47</v>
      </c>
      <c r="E34" s="174"/>
      <c r="F34" s="417" t="s">
        <v>48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</row>
    <row r="35" spans="1:23" ht="14.25">
      <c r="A35" s="101" t="s">
        <v>88</v>
      </c>
      <c r="B35" s="102" t="s">
        <v>49</v>
      </c>
      <c r="C35" s="102" t="s">
        <v>50</v>
      </c>
      <c r="D35" s="103" t="s">
        <v>51</v>
      </c>
      <c r="E35" s="104" t="s">
        <v>52</v>
      </c>
      <c r="F35" s="41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</row>
    <row r="36" spans="1:23" s="106" customFormat="1" ht="15.75" thickBot="1">
      <c r="A36" s="107">
        <v>293</v>
      </c>
      <c r="B36" s="108" t="s">
        <v>65</v>
      </c>
      <c r="C36" s="109">
        <v>29128</v>
      </c>
      <c r="D36" s="110" t="s">
        <v>131</v>
      </c>
      <c r="E36" s="111">
        <v>29090</v>
      </c>
      <c r="F36" s="112" t="s">
        <v>41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</row>
    <row r="38" ht="15" thickBot="1"/>
    <row r="39" spans="1:13" ht="38.25" customHeight="1">
      <c r="A39" s="71" t="s">
        <v>89</v>
      </c>
      <c r="B39" s="72"/>
      <c r="C39" s="72"/>
      <c r="D39" s="61"/>
      <c r="E39" s="415" t="s">
        <v>54</v>
      </c>
      <c r="F39" s="416"/>
      <c r="G39" s="73" t="s">
        <v>35</v>
      </c>
      <c r="H39" s="61" t="s">
        <v>36</v>
      </c>
      <c r="I39" s="74" t="s">
        <v>37</v>
      </c>
      <c r="J39" s="411" t="s">
        <v>38</v>
      </c>
      <c r="K39" s="74" t="s">
        <v>53</v>
      </c>
      <c r="L39" s="74" t="s">
        <v>69</v>
      </c>
      <c r="M39" s="74" t="s">
        <v>68</v>
      </c>
    </row>
    <row r="40" spans="1:11" ht="23.25" thickBot="1">
      <c r="A40" s="144"/>
      <c r="B40" s="145"/>
      <c r="C40" s="145"/>
      <c r="D40" s="146"/>
      <c r="E40" s="147" t="s">
        <v>39</v>
      </c>
      <c r="F40" s="148" t="s">
        <v>40</v>
      </c>
      <c r="G40" s="149"/>
      <c r="H40" s="150"/>
      <c r="I40" s="151"/>
      <c r="J40" s="412"/>
      <c r="K40" s="114"/>
    </row>
    <row r="41" spans="1:13" s="205" customFormat="1" ht="15" thickBot="1">
      <c r="A41" s="201">
        <v>301</v>
      </c>
      <c r="B41" s="202"/>
      <c r="C41" s="203"/>
      <c r="D41" s="203"/>
      <c r="E41" s="291">
        <v>29473</v>
      </c>
      <c r="F41" s="291">
        <v>30570</v>
      </c>
      <c r="G41" s="292">
        <v>1</v>
      </c>
      <c r="H41" s="293" t="s">
        <v>66</v>
      </c>
      <c r="I41" s="294">
        <f>ROUND((DAYS360(E41,F41)/30),1)*G41</f>
        <v>36.1</v>
      </c>
      <c r="J41" s="204" t="s">
        <v>41</v>
      </c>
      <c r="M41" s="206">
        <v>1</v>
      </c>
    </row>
    <row r="42" spans="1:13" s="205" customFormat="1" ht="14.25">
      <c r="A42" s="201">
        <v>302</v>
      </c>
      <c r="B42" s="219"/>
      <c r="C42" s="219"/>
      <c r="D42" s="219"/>
      <c r="E42" s="295">
        <v>30571</v>
      </c>
      <c r="F42" s="295">
        <v>31835</v>
      </c>
      <c r="G42" s="220">
        <v>1</v>
      </c>
      <c r="H42" s="214" t="s">
        <v>67</v>
      </c>
      <c r="I42" s="217">
        <f>ROUND((DAYS360(E42,F42)/30),1)*G42</f>
        <v>41.5</v>
      </c>
      <c r="J42" s="211" t="s">
        <v>41</v>
      </c>
      <c r="K42" s="205" t="str">
        <f>+IF(E42&gt;=F41,"OK","TRASLAPO")</f>
        <v>OK</v>
      </c>
      <c r="M42" s="206">
        <v>4</v>
      </c>
    </row>
    <row r="43" spans="1:13" s="205" customFormat="1" ht="14.25">
      <c r="A43" s="207">
        <v>305</v>
      </c>
      <c r="B43" s="208"/>
      <c r="C43" s="209"/>
      <c r="D43" s="209"/>
      <c r="E43" s="215">
        <v>31850</v>
      </c>
      <c r="F43" s="215">
        <v>33433</v>
      </c>
      <c r="G43" s="220">
        <v>1</v>
      </c>
      <c r="H43" s="214" t="s">
        <v>66</v>
      </c>
      <c r="I43" s="296">
        <f>ROUND((DAYS360(E43,F43)/30),1)*G43</f>
        <v>52</v>
      </c>
      <c r="J43" s="211" t="s">
        <v>41</v>
      </c>
      <c r="K43" s="205" t="str">
        <f>+IF(E43&gt;=F42,"OK","TRASLAPO")</f>
        <v>OK</v>
      </c>
      <c r="M43" s="206">
        <v>2</v>
      </c>
    </row>
    <row r="44" spans="1:13" s="205" customFormat="1" ht="14.25">
      <c r="A44" s="212">
        <v>304</v>
      </c>
      <c r="B44" s="213"/>
      <c r="C44" s="214"/>
      <c r="D44" s="214"/>
      <c r="E44" s="210">
        <v>33434</v>
      </c>
      <c r="F44" s="210">
        <v>33518</v>
      </c>
      <c r="G44" s="216">
        <v>1</v>
      </c>
      <c r="H44" s="213" t="s">
        <v>67</v>
      </c>
      <c r="I44" s="217">
        <f>ROUND((DAYS360(E44,F44)/30),1)*G44</f>
        <v>2.7</v>
      </c>
      <c r="J44" s="218" t="s">
        <v>41</v>
      </c>
      <c r="K44" s="205" t="str">
        <f>+IF(E44&gt;=F43,"OK","TRASLAPO")</f>
        <v>OK</v>
      </c>
      <c r="M44" s="206">
        <v>3</v>
      </c>
    </row>
    <row r="45" spans="1:13" s="205" customFormat="1" ht="14.25">
      <c r="A45" s="207">
        <v>305</v>
      </c>
      <c r="B45" s="208"/>
      <c r="C45" s="209"/>
      <c r="D45" s="209"/>
      <c r="E45" s="297">
        <v>33527</v>
      </c>
      <c r="F45" s="297">
        <v>34073</v>
      </c>
      <c r="G45" s="220">
        <v>1</v>
      </c>
      <c r="H45" s="214" t="s">
        <v>66</v>
      </c>
      <c r="I45" s="296">
        <f>ROUND((DAYS360(E45,F45)/30),1)*G45</f>
        <v>17.9</v>
      </c>
      <c r="J45" s="211" t="s">
        <v>41</v>
      </c>
      <c r="K45" s="205" t="str">
        <f>+IF(E45&gt;=F44,"OK","TRASLAPO")</f>
        <v>OK</v>
      </c>
      <c r="M45" s="206"/>
    </row>
    <row r="46" spans="1:13" ht="15" thickBot="1">
      <c r="A46" s="185"/>
      <c r="B46" s="186"/>
      <c r="C46" s="187"/>
      <c r="D46" s="187"/>
      <c r="E46" s="188"/>
      <c r="F46" s="188"/>
      <c r="G46" s="189"/>
      <c r="H46" s="186"/>
      <c r="I46" s="190"/>
      <c r="J46" s="191"/>
      <c r="M46" s="200"/>
    </row>
    <row r="47" spans="1:11" ht="15" thickBot="1">
      <c r="A47" s="66" t="s">
        <v>42</v>
      </c>
      <c r="B47" s="67"/>
      <c r="C47" s="67"/>
      <c r="D47" s="67"/>
      <c r="E47" s="68"/>
      <c r="F47" s="68"/>
      <c r="G47" s="69"/>
      <c r="H47" s="67"/>
      <c r="I47" s="182">
        <f>SUM(I41:I45)</f>
        <v>150.2</v>
      </c>
      <c r="J47" s="183">
        <f>SUMIF(J41:J45,"SI",I41:I45)</f>
        <v>150.2</v>
      </c>
      <c r="K47" s="170" t="str">
        <f>+IF(J47&gt;=120,"ok","no pasa")</f>
        <v>ok</v>
      </c>
    </row>
    <row r="49" ht="15" thickBot="1"/>
    <row r="50" spans="1:23" ht="15" thickBot="1">
      <c r="A50" s="79" t="s">
        <v>91</v>
      </c>
      <c r="B50" s="79"/>
      <c r="C50" s="80"/>
      <c r="D50" s="81" t="s">
        <v>132</v>
      </c>
      <c r="E50" s="81"/>
      <c r="F50" s="82"/>
      <c r="G50" s="83"/>
      <c r="H50" s="84"/>
      <c r="I50" s="86"/>
      <c r="J50" s="85"/>
      <c r="K50" s="87"/>
      <c r="L50" s="88"/>
      <c r="M50" s="88"/>
      <c r="N50" s="89"/>
      <c r="O50" s="89"/>
      <c r="P50" s="89"/>
      <c r="Q50" s="89"/>
      <c r="R50" s="89"/>
      <c r="S50" s="89"/>
      <c r="T50" s="89"/>
      <c r="U50" s="89"/>
      <c r="V50" s="89"/>
      <c r="W50" s="89"/>
    </row>
    <row r="51" spans="1:23" ht="15" thickBot="1">
      <c r="A51" s="89"/>
      <c r="B51" s="89"/>
      <c r="C51" s="90"/>
      <c r="D51" s="90"/>
      <c r="E51" s="91"/>
      <c r="F51" s="91"/>
      <c r="G51" s="91"/>
      <c r="H51" s="84"/>
      <c r="I51" s="86"/>
      <c r="J51" s="85"/>
      <c r="K51" s="85"/>
      <c r="L51" s="88"/>
      <c r="M51" s="88"/>
      <c r="N51" s="89"/>
      <c r="O51" s="89"/>
      <c r="P51" s="89"/>
      <c r="Q51" s="89"/>
      <c r="R51" s="89"/>
      <c r="S51" s="89"/>
      <c r="T51" s="89"/>
      <c r="U51" s="89"/>
      <c r="V51" s="89"/>
      <c r="W51" s="89"/>
    </row>
    <row r="52" spans="1:23" ht="14.25">
      <c r="A52" s="92" t="s">
        <v>43</v>
      </c>
      <c r="B52" s="93"/>
      <c r="C52" s="93"/>
      <c r="D52" s="93"/>
      <c r="E52" s="94"/>
      <c r="F52" s="95"/>
      <c r="G52" s="96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1:23" ht="15">
      <c r="A53" s="97" t="s">
        <v>44</v>
      </c>
      <c r="B53" s="98" t="s">
        <v>45</v>
      </c>
      <c r="C53" s="98" t="s">
        <v>46</v>
      </c>
      <c r="D53" s="99" t="s">
        <v>47</v>
      </c>
      <c r="E53" s="100"/>
      <c r="F53" s="417" t="s">
        <v>48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1:23" ht="14.25">
      <c r="A54" s="101" t="s">
        <v>88</v>
      </c>
      <c r="B54" s="102" t="s">
        <v>49</v>
      </c>
      <c r="C54" s="102" t="s">
        <v>50</v>
      </c>
      <c r="D54" s="103" t="s">
        <v>51</v>
      </c>
      <c r="E54" s="104" t="s">
        <v>52</v>
      </c>
      <c r="F54" s="41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1:23" s="106" customFormat="1" ht="15.75" thickBot="1">
      <c r="A55" s="107">
        <v>264</v>
      </c>
      <c r="B55" s="108" t="s">
        <v>126</v>
      </c>
      <c r="C55" s="109">
        <v>33419</v>
      </c>
      <c r="D55" s="110" t="s">
        <v>133</v>
      </c>
      <c r="E55" s="111">
        <v>33578</v>
      </c>
      <c r="F55" s="112" t="s">
        <v>41</v>
      </c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7" ht="15" thickBot="1"/>
    <row r="58" spans="1:11" ht="38.25" customHeight="1">
      <c r="A58" s="71" t="s">
        <v>89</v>
      </c>
      <c r="B58" s="72" t="s">
        <v>56</v>
      </c>
      <c r="C58" s="72" t="s">
        <v>55</v>
      </c>
      <c r="D58" s="61" t="s">
        <v>34</v>
      </c>
      <c r="E58" s="415" t="s">
        <v>54</v>
      </c>
      <c r="F58" s="416"/>
      <c r="G58" s="73" t="s">
        <v>35</v>
      </c>
      <c r="H58" s="61" t="s">
        <v>36</v>
      </c>
      <c r="I58" s="74" t="s">
        <v>37</v>
      </c>
      <c r="J58" s="411" t="s">
        <v>38</v>
      </c>
      <c r="K58" s="74" t="s">
        <v>53</v>
      </c>
    </row>
    <row r="59" spans="1:11" ht="23.25" thickBot="1">
      <c r="A59" s="144"/>
      <c r="B59" s="145"/>
      <c r="C59" s="145"/>
      <c r="D59" s="146"/>
      <c r="E59" s="147" t="s">
        <v>39</v>
      </c>
      <c r="F59" s="148" t="s">
        <v>40</v>
      </c>
      <c r="G59" s="149"/>
      <c r="H59" s="150"/>
      <c r="I59" s="151"/>
      <c r="J59" s="412"/>
      <c r="K59" s="114"/>
    </row>
    <row r="60" spans="1:13" s="205" customFormat="1" ht="14.25">
      <c r="A60" s="298">
        <v>291</v>
      </c>
      <c r="B60" s="299"/>
      <c r="C60" s="299"/>
      <c r="D60" s="298"/>
      <c r="E60" s="300">
        <v>33578</v>
      </c>
      <c r="F60" s="304">
        <v>33661</v>
      </c>
      <c r="G60" s="301">
        <v>1</v>
      </c>
      <c r="H60" s="302" t="s">
        <v>66</v>
      </c>
      <c r="I60" s="305">
        <f>ROUND((DAYS360(E60,F60)/30),2)*G60</f>
        <v>2.7</v>
      </c>
      <c r="J60" s="303" t="s">
        <v>41</v>
      </c>
      <c r="K60" s="221"/>
      <c r="M60" s="205">
        <v>2</v>
      </c>
    </row>
    <row r="61" spans="1:11" s="205" customFormat="1" ht="14.25">
      <c r="A61" s="298">
        <v>290</v>
      </c>
      <c r="B61" s="299"/>
      <c r="C61" s="299"/>
      <c r="D61" s="298"/>
      <c r="E61" s="300">
        <v>33724</v>
      </c>
      <c r="F61" s="300">
        <v>33846</v>
      </c>
      <c r="G61" s="301">
        <v>1</v>
      </c>
      <c r="H61" s="302" t="s">
        <v>66</v>
      </c>
      <c r="I61" s="296">
        <f aca="true" t="shared" si="0" ref="I61:I77">ROUND((DAYS360(E61,F61)/30),1)*G61</f>
        <v>4</v>
      </c>
      <c r="J61" s="303" t="s">
        <v>41</v>
      </c>
      <c r="K61" s="205" t="str">
        <f>+IF(E61&gt;=F60,"OK","TRASLAPO")</f>
        <v>OK</v>
      </c>
    </row>
    <row r="62" spans="1:11" s="205" customFormat="1" ht="14.25">
      <c r="A62" s="298">
        <v>2.89</v>
      </c>
      <c r="B62" s="299"/>
      <c r="C62" s="299"/>
      <c r="D62" s="298"/>
      <c r="E62" s="300">
        <v>33847</v>
      </c>
      <c r="F62" s="300">
        <v>33937</v>
      </c>
      <c r="G62" s="301">
        <v>1</v>
      </c>
      <c r="H62" s="302" t="s">
        <v>66</v>
      </c>
      <c r="I62" s="296">
        <f t="shared" si="0"/>
        <v>3</v>
      </c>
      <c r="J62" s="303" t="s">
        <v>41</v>
      </c>
      <c r="K62" s="205" t="str">
        <f aca="true" t="shared" si="1" ref="K62:K77">+IF(E62&gt;=F61,"OK","TRASLAPO")</f>
        <v>OK</v>
      </c>
    </row>
    <row r="63" spans="1:11" s="205" customFormat="1" ht="14.25">
      <c r="A63" s="298">
        <v>288</v>
      </c>
      <c r="B63" s="299"/>
      <c r="C63" s="299"/>
      <c r="D63" s="298"/>
      <c r="E63" s="300">
        <v>33969</v>
      </c>
      <c r="F63" s="304">
        <v>34119</v>
      </c>
      <c r="G63" s="301">
        <v>1</v>
      </c>
      <c r="H63" s="302" t="s">
        <v>66</v>
      </c>
      <c r="I63" s="296">
        <f t="shared" si="0"/>
        <v>5</v>
      </c>
      <c r="J63" s="303" t="s">
        <v>41</v>
      </c>
      <c r="K63" s="205" t="str">
        <f t="shared" si="1"/>
        <v>OK</v>
      </c>
    </row>
    <row r="64" spans="1:11" s="205" customFormat="1" ht="14.25">
      <c r="A64" s="298">
        <v>287</v>
      </c>
      <c r="B64" s="299"/>
      <c r="C64" s="299"/>
      <c r="D64" s="298"/>
      <c r="E64" s="300">
        <v>34216</v>
      </c>
      <c r="F64" s="300">
        <v>34755</v>
      </c>
      <c r="G64" s="301">
        <v>1</v>
      </c>
      <c r="H64" s="302" t="s">
        <v>66</v>
      </c>
      <c r="I64" s="296">
        <f t="shared" si="0"/>
        <v>17.7</v>
      </c>
      <c r="J64" s="303" t="s">
        <v>41</v>
      </c>
      <c r="K64" s="205" t="str">
        <f t="shared" si="1"/>
        <v>OK</v>
      </c>
    </row>
    <row r="65" spans="1:11" s="205" customFormat="1" ht="14.25">
      <c r="A65" s="298">
        <v>286</v>
      </c>
      <c r="B65" s="299"/>
      <c r="C65" s="299"/>
      <c r="D65" s="298"/>
      <c r="E65" s="300">
        <v>34880</v>
      </c>
      <c r="F65" s="300">
        <v>35215</v>
      </c>
      <c r="G65" s="301">
        <v>1</v>
      </c>
      <c r="H65" s="302" t="s">
        <v>66</v>
      </c>
      <c r="I65" s="296">
        <f t="shared" si="0"/>
        <v>11</v>
      </c>
      <c r="J65" s="303" t="s">
        <v>41</v>
      </c>
      <c r="K65" s="205" t="str">
        <f t="shared" si="1"/>
        <v>OK</v>
      </c>
    </row>
    <row r="66" spans="1:11" s="205" customFormat="1" ht="14.25">
      <c r="A66" s="298">
        <v>285</v>
      </c>
      <c r="B66" s="299"/>
      <c r="C66" s="299"/>
      <c r="D66" s="298"/>
      <c r="E66" s="300">
        <v>35216</v>
      </c>
      <c r="F66" s="300">
        <v>35337</v>
      </c>
      <c r="G66" s="301">
        <v>1</v>
      </c>
      <c r="H66" s="302" t="s">
        <v>66</v>
      </c>
      <c r="I66" s="296">
        <f t="shared" si="0"/>
        <v>4</v>
      </c>
      <c r="J66" s="303" t="s">
        <v>41</v>
      </c>
      <c r="K66" s="205" t="str">
        <f t="shared" si="1"/>
        <v>OK</v>
      </c>
    </row>
    <row r="67" spans="1:11" s="205" customFormat="1" ht="14.25">
      <c r="A67" s="298">
        <v>284</v>
      </c>
      <c r="B67" s="299"/>
      <c r="C67" s="299"/>
      <c r="D67" s="298"/>
      <c r="E67" s="300">
        <v>35488</v>
      </c>
      <c r="F67" s="300">
        <v>35611</v>
      </c>
      <c r="G67" s="301">
        <v>1</v>
      </c>
      <c r="H67" s="302" t="s">
        <v>66</v>
      </c>
      <c r="I67" s="296">
        <f t="shared" si="0"/>
        <v>4</v>
      </c>
      <c r="J67" s="303" t="s">
        <v>41</v>
      </c>
      <c r="K67" s="205" t="str">
        <f t="shared" si="1"/>
        <v>OK</v>
      </c>
    </row>
    <row r="68" spans="1:11" s="205" customFormat="1" ht="14.25">
      <c r="A68" s="298">
        <v>283</v>
      </c>
      <c r="B68" s="299"/>
      <c r="C68" s="299"/>
      <c r="D68" s="298"/>
      <c r="E68" s="300">
        <v>35976</v>
      </c>
      <c r="F68" s="304">
        <v>36067</v>
      </c>
      <c r="G68" s="301">
        <v>1</v>
      </c>
      <c r="H68" s="302" t="s">
        <v>66</v>
      </c>
      <c r="I68" s="296">
        <f t="shared" si="0"/>
        <v>3</v>
      </c>
      <c r="J68" s="303" t="s">
        <v>41</v>
      </c>
      <c r="K68" s="205" t="str">
        <f t="shared" si="1"/>
        <v>OK</v>
      </c>
    </row>
    <row r="69" spans="1:11" s="205" customFormat="1" ht="14.25">
      <c r="A69" s="298">
        <v>282</v>
      </c>
      <c r="B69" s="299"/>
      <c r="C69" s="299"/>
      <c r="D69" s="298"/>
      <c r="E69" s="300">
        <v>36068</v>
      </c>
      <c r="F69" s="300">
        <v>36645</v>
      </c>
      <c r="G69" s="301">
        <v>1</v>
      </c>
      <c r="H69" s="302" t="s">
        <v>135</v>
      </c>
      <c r="I69" s="296">
        <f t="shared" si="0"/>
        <v>19</v>
      </c>
      <c r="J69" s="303" t="s">
        <v>41</v>
      </c>
      <c r="K69" s="205" t="str">
        <f t="shared" si="1"/>
        <v>OK</v>
      </c>
    </row>
    <row r="70" spans="1:11" s="205" customFormat="1" ht="14.25">
      <c r="A70" s="298">
        <v>281</v>
      </c>
      <c r="B70" s="299"/>
      <c r="C70" s="299"/>
      <c r="D70" s="298"/>
      <c r="E70" s="300">
        <v>36646</v>
      </c>
      <c r="F70" s="300">
        <v>36980</v>
      </c>
      <c r="G70" s="301">
        <v>1</v>
      </c>
      <c r="H70" s="302" t="s">
        <v>66</v>
      </c>
      <c r="I70" s="296">
        <f t="shared" si="0"/>
        <v>11</v>
      </c>
      <c r="J70" s="303" t="s">
        <v>41</v>
      </c>
      <c r="K70" s="205" t="str">
        <f t="shared" si="1"/>
        <v>OK</v>
      </c>
    </row>
    <row r="71" spans="1:11" s="205" customFormat="1" ht="14.25">
      <c r="A71" s="298">
        <v>280</v>
      </c>
      <c r="B71" s="299"/>
      <c r="C71" s="299"/>
      <c r="D71" s="298"/>
      <c r="E71" s="300">
        <v>37189</v>
      </c>
      <c r="F71" s="300">
        <v>37589</v>
      </c>
      <c r="G71" s="301">
        <v>1</v>
      </c>
      <c r="H71" s="302" t="s">
        <v>66</v>
      </c>
      <c r="I71" s="296">
        <f t="shared" si="0"/>
        <v>13.1</v>
      </c>
      <c r="J71" s="303" t="s">
        <v>41</v>
      </c>
      <c r="K71" s="205" t="str">
        <f t="shared" si="1"/>
        <v>OK</v>
      </c>
    </row>
    <row r="72" spans="1:11" s="205" customFormat="1" ht="14.25">
      <c r="A72" s="298">
        <v>279</v>
      </c>
      <c r="B72" s="299"/>
      <c r="C72" s="299"/>
      <c r="D72" s="298"/>
      <c r="E72" s="300">
        <v>37590</v>
      </c>
      <c r="F72" s="300">
        <v>37730</v>
      </c>
      <c r="G72" s="301">
        <v>1</v>
      </c>
      <c r="H72" s="302" t="s">
        <v>135</v>
      </c>
      <c r="I72" s="296">
        <f t="shared" si="0"/>
        <v>4.6</v>
      </c>
      <c r="J72" s="303" t="s">
        <v>41</v>
      </c>
      <c r="K72" s="205" t="str">
        <f t="shared" si="1"/>
        <v>OK</v>
      </c>
    </row>
    <row r="73" spans="1:11" s="205" customFormat="1" ht="14.25">
      <c r="A73" s="298">
        <v>278</v>
      </c>
      <c r="B73" s="299"/>
      <c r="C73" s="299"/>
      <c r="D73" s="298"/>
      <c r="E73" s="300">
        <v>37740</v>
      </c>
      <c r="F73" s="300">
        <v>38091</v>
      </c>
      <c r="G73" s="301">
        <v>1</v>
      </c>
      <c r="H73" s="302" t="s">
        <v>66</v>
      </c>
      <c r="I73" s="296">
        <f t="shared" si="0"/>
        <v>11.5</v>
      </c>
      <c r="J73" s="303" t="s">
        <v>41</v>
      </c>
      <c r="K73" s="205" t="str">
        <f t="shared" si="1"/>
        <v>OK</v>
      </c>
    </row>
    <row r="74" spans="1:11" s="205" customFormat="1" ht="24.75" customHeight="1">
      <c r="A74" s="298">
        <v>277</v>
      </c>
      <c r="B74" s="299"/>
      <c r="C74" s="299"/>
      <c r="D74" s="298"/>
      <c r="E74" s="300">
        <v>38103</v>
      </c>
      <c r="F74" s="300">
        <v>38274</v>
      </c>
      <c r="G74" s="301">
        <v>1</v>
      </c>
      <c r="H74" s="302" t="s">
        <v>59</v>
      </c>
      <c r="I74" s="296">
        <f t="shared" si="0"/>
        <v>5.6</v>
      </c>
      <c r="J74" s="303" t="s">
        <v>41</v>
      </c>
      <c r="K74" s="205" t="str">
        <f t="shared" si="1"/>
        <v>OK</v>
      </c>
    </row>
    <row r="75" spans="1:11" s="205" customFormat="1" ht="21.75" customHeight="1">
      <c r="A75" s="298">
        <v>276</v>
      </c>
      <c r="B75" s="299"/>
      <c r="C75" s="299"/>
      <c r="D75" s="298"/>
      <c r="E75" s="300">
        <v>38274</v>
      </c>
      <c r="F75" s="300">
        <v>38325</v>
      </c>
      <c r="G75" s="301">
        <v>1</v>
      </c>
      <c r="H75" s="302" t="s">
        <v>59</v>
      </c>
      <c r="I75" s="296">
        <f t="shared" si="0"/>
        <v>1.7</v>
      </c>
      <c r="J75" s="303" t="s">
        <v>41</v>
      </c>
      <c r="K75" s="205" t="str">
        <f t="shared" si="1"/>
        <v>OK</v>
      </c>
    </row>
    <row r="76" spans="1:11" s="205" customFormat="1" ht="14.25">
      <c r="A76" s="298">
        <v>275</v>
      </c>
      <c r="B76" s="299"/>
      <c r="C76" s="299"/>
      <c r="D76" s="298"/>
      <c r="E76" s="300">
        <v>38356</v>
      </c>
      <c r="F76" s="304">
        <v>38771</v>
      </c>
      <c r="G76" s="301">
        <v>1</v>
      </c>
      <c r="H76" s="302" t="s">
        <v>134</v>
      </c>
      <c r="I76" s="296">
        <f t="shared" si="0"/>
        <v>13.6</v>
      </c>
      <c r="J76" s="303" t="s">
        <v>41</v>
      </c>
      <c r="K76" s="205" t="str">
        <f t="shared" si="1"/>
        <v>OK</v>
      </c>
    </row>
    <row r="77" spans="1:11" s="205" customFormat="1" ht="14.25">
      <c r="A77" s="298">
        <v>274</v>
      </c>
      <c r="B77" s="299"/>
      <c r="C77" s="299"/>
      <c r="D77" s="298"/>
      <c r="E77" s="300">
        <v>38868</v>
      </c>
      <c r="F77" s="300">
        <v>39170</v>
      </c>
      <c r="G77" s="301">
        <v>1</v>
      </c>
      <c r="H77" s="302" t="s">
        <v>134</v>
      </c>
      <c r="I77" s="296">
        <f t="shared" si="0"/>
        <v>10</v>
      </c>
      <c r="J77" s="303" t="s">
        <v>41</v>
      </c>
      <c r="K77" s="205" t="str">
        <f t="shared" si="1"/>
        <v>OK</v>
      </c>
    </row>
    <row r="78" spans="1:11" s="205" customFormat="1" ht="14.25">
      <c r="A78" s="298"/>
      <c r="B78" s="299"/>
      <c r="C78" s="299"/>
      <c r="D78" s="298"/>
      <c r="E78" s="300"/>
      <c r="F78" s="300"/>
      <c r="G78" s="301"/>
      <c r="H78" s="302"/>
      <c r="I78" s="217"/>
      <c r="J78" s="303"/>
      <c r="K78" s="221"/>
    </row>
    <row r="79" spans="1:11" ht="15" thickBot="1">
      <c r="A79" s="66" t="s">
        <v>42</v>
      </c>
      <c r="B79" s="67"/>
      <c r="C79" s="67"/>
      <c r="D79" s="67"/>
      <c r="E79" s="68"/>
      <c r="F79" s="68"/>
      <c r="G79" s="69"/>
      <c r="H79" s="67"/>
      <c r="I79" s="182">
        <f>SUM(I60:I78)</f>
        <v>144.5</v>
      </c>
      <c r="J79" s="183" t="str">
        <f>+J60</f>
        <v>SI</v>
      </c>
      <c r="K79" s="170" t="str">
        <f>+IF(J79&gt;=120,"ok","no pasa")</f>
        <v>ok</v>
      </c>
    </row>
    <row r="81" ht="14.25">
      <c r="F81" s="170"/>
    </row>
  </sheetData>
  <sheetProtection/>
  <mergeCells count="14">
    <mergeCell ref="A7:J7"/>
    <mergeCell ref="A8:J8"/>
    <mergeCell ref="B2:E2"/>
    <mergeCell ref="B3:E3"/>
    <mergeCell ref="B4:E4"/>
    <mergeCell ref="J20:J21"/>
    <mergeCell ref="F13:F14"/>
    <mergeCell ref="E20:F20"/>
    <mergeCell ref="F53:F54"/>
    <mergeCell ref="E58:F58"/>
    <mergeCell ref="J58:J59"/>
    <mergeCell ref="F34:F35"/>
    <mergeCell ref="E39:F39"/>
    <mergeCell ref="J39:J40"/>
  </mergeCells>
  <conditionalFormatting sqref="A79:J79 A47:I47 B55:F55 E59:F78 A58:E58 A50:G51 H50:IU55 F53 B52:G52 B53:E54 A52:A55 I58:K58 J46:J47 H46:I46 A28:I28 E21:F22 A23:F26 A20:E20 A10:G11 H10:IU17 F13 B12:G12 B13:E14 A12:A17 I20:K20 J22:J28 H20:H27 B36:F36 I22:I27 A39:E39 A31:G32 H31:IU36 F34 B33:G33 B34:E35 A33:A36 E40:F40 I39:M39 A41:F41 A42 H44:J45 I41:J43 H39:H43 A43:D43 E42:F43 A44:F46 I60:I78 H58:H78 B15:F17">
    <cfRule type="cellIs" priority="18" dxfId="2" operator="equal" stopIfTrue="1">
      <formula>"No cumple"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="80" zoomScaleNormal="80" zoomScalePageLayoutView="0" workbookViewId="0" topLeftCell="B34">
      <selection activeCell="J6" sqref="J6"/>
    </sheetView>
  </sheetViews>
  <sheetFormatPr defaultColWidth="11.19921875" defaultRowHeight="14.25"/>
  <cols>
    <col min="2" max="2" width="16.19921875" style="0" customWidth="1"/>
    <col min="3" max="3" width="14.8984375" style="0" bestFit="1" customWidth="1"/>
    <col min="8" max="9" width="11.796875" style="0" customWidth="1"/>
    <col min="10" max="10" width="12.19921875" style="0" customWidth="1"/>
  </cols>
  <sheetData>
    <row r="1" spans="2:46" s="1" customFormat="1" ht="14.25">
      <c r="B1" s="325" t="s">
        <v>4</v>
      </c>
      <c r="C1" s="326"/>
      <c r="D1" s="326"/>
      <c r="E1" s="326"/>
      <c r="F1" s="236"/>
      <c r="G1" s="237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 t="s">
        <v>6</v>
      </c>
      <c r="AS1" s="10"/>
      <c r="AT1" s="11"/>
    </row>
    <row r="2" spans="2:46" s="1" customFormat="1" ht="14.25">
      <c r="B2" s="328" t="s">
        <v>5</v>
      </c>
      <c r="C2" s="329"/>
      <c r="D2" s="329"/>
      <c r="E2" s="329"/>
      <c r="F2" s="238"/>
      <c r="G2" s="239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 t="s">
        <v>1</v>
      </c>
      <c r="AS2" s="10"/>
      <c r="AT2" s="11"/>
    </row>
    <row r="3" spans="2:46" s="1" customFormat="1" ht="15" thickBot="1">
      <c r="B3" s="422" t="s">
        <v>71</v>
      </c>
      <c r="C3" s="423"/>
      <c r="D3" s="423"/>
      <c r="E3" s="423"/>
      <c r="F3" s="240"/>
      <c r="G3" s="241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</row>
    <row r="4" spans="1:44" s="1" customFormat="1" ht="29.25" customHeight="1" thickBot="1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6"/>
      <c r="M4" s="15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15"/>
      <c r="AN4" s="15"/>
      <c r="AO4" s="15"/>
      <c r="AP4" s="15"/>
      <c r="AQ4" s="15"/>
      <c r="AR4" s="15"/>
    </row>
    <row r="5" ht="15" thickBot="1"/>
    <row r="6" spans="1:24" ht="15" thickBot="1">
      <c r="A6" s="79" t="s">
        <v>59</v>
      </c>
      <c r="B6" s="79"/>
      <c r="C6" s="80"/>
      <c r="D6" s="81"/>
      <c r="E6" s="81" t="str">
        <f>+'Exp. General del personal'!D10</f>
        <v>NOMBRE: CARLOS ERNESTO PERDOMO RUBIANO</v>
      </c>
      <c r="F6" s="82"/>
      <c r="G6" s="83"/>
      <c r="H6" s="84"/>
      <c r="I6" s="84"/>
      <c r="J6" s="86"/>
      <c r="K6" s="85"/>
      <c r="L6" s="87"/>
      <c r="M6" s="88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s="15" customFormat="1" ht="15" thickBot="1">
      <c r="A7" s="244"/>
      <c r="B7" s="244"/>
      <c r="C7" s="245"/>
      <c r="D7" s="246"/>
      <c r="E7" s="246"/>
      <c r="F7" s="247"/>
      <c r="G7" s="247"/>
      <c r="H7" s="248"/>
      <c r="I7" s="248"/>
      <c r="J7" s="249"/>
      <c r="K7" s="250"/>
      <c r="L7" s="251"/>
      <c r="M7" s="250"/>
      <c r="N7" s="250"/>
      <c r="O7" s="245"/>
      <c r="P7" s="245"/>
      <c r="Q7" s="245"/>
      <c r="R7" s="245"/>
      <c r="S7" s="245"/>
      <c r="T7" s="245"/>
      <c r="U7" s="245"/>
      <c r="V7" s="245"/>
      <c r="W7" s="245"/>
      <c r="X7" s="245"/>
    </row>
    <row r="8" spans="1:24" s="15" customFormat="1" ht="78" customHeight="1" thickBot="1">
      <c r="A8" s="427" t="s">
        <v>94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9"/>
      <c r="M8" s="250"/>
      <c r="N8" s="250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s="15" customFormat="1" ht="14.25">
      <c r="A9" s="244"/>
      <c r="B9" s="244"/>
      <c r="C9" s="245"/>
      <c r="D9" s="246"/>
      <c r="E9" s="246"/>
      <c r="F9" s="247"/>
      <c r="G9" s="247"/>
      <c r="H9" s="248"/>
      <c r="I9" s="248"/>
      <c r="J9" s="249"/>
      <c r="K9" s="250"/>
      <c r="L9" s="251"/>
      <c r="M9" s="250"/>
      <c r="N9" s="250"/>
      <c r="O9" s="245"/>
      <c r="P9" s="245"/>
      <c r="Q9" s="245"/>
      <c r="R9" s="245"/>
      <c r="S9" s="245"/>
      <c r="T9" s="245"/>
      <c r="U9" s="245"/>
      <c r="V9" s="245"/>
      <c r="W9" s="245"/>
      <c r="X9" s="245"/>
    </row>
    <row r="10" spans="1:24" ht="14.25">
      <c r="A10" s="89"/>
      <c r="B10" s="89"/>
      <c r="C10" s="90"/>
      <c r="D10" s="90"/>
      <c r="E10" s="91"/>
      <c r="F10" s="91"/>
      <c r="G10" s="91"/>
      <c r="H10" s="84"/>
      <c r="I10" s="84"/>
      <c r="J10" s="86"/>
      <c r="K10" s="85"/>
      <c r="L10" s="85"/>
      <c r="M10" s="88"/>
      <c r="N10" s="88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2" ht="15" thickBot="1"/>
    <row r="13" spans="1:13" ht="36">
      <c r="A13" s="71" t="s">
        <v>89</v>
      </c>
      <c r="B13" s="72" t="s">
        <v>56</v>
      </c>
      <c r="C13" s="72" t="s">
        <v>55</v>
      </c>
      <c r="D13" s="61" t="s">
        <v>34</v>
      </c>
      <c r="E13" s="415" t="s">
        <v>54</v>
      </c>
      <c r="F13" s="416"/>
      <c r="G13" s="73" t="s">
        <v>35</v>
      </c>
      <c r="H13" s="61" t="s">
        <v>36</v>
      </c>
      <c r="I13" s="306" t="s">
        <v>136</v>
      </c>
      <c r="J13" s="242" t="s">
        <v>95</v>
      </c>
      <c r="K13" s="411" t="s">
        <v>38</v>
      </c>
      <c r="L13" s="258" t="s">
        <v>99</v>
      </c>
      <c r="M13" s="430" t="s">
        <v>100</v>
      </c>
    </row>
    <row r="14" spans="1:13" ht="41.25" customHeight="1" thickBot="1">
      <c r="A14" s="144"/>
      <c r="B14" s="145"/>
      <c r="C14" s="145"/>
      <c r="D14" s="146"/>
      <c r="E14" s="147" t="s">
        <v>39</v>
      </c>
      <c r="F14" s="148" t="s">
        <v>40</v>
      </c>
      <c r="G14" s="149"/>
      <c r="H14" s="150"/>
      <c r="I14" s="259"/>
      <c r="J14" s="151"/>
      <c r="K14" s="412"/>
      <c r="L14" s="114"/>
      <c r="M14" s="431"/>
    </row>
    <row r="15" spans="1:13" ht="14.25">
      <c r="A15" s="160">
        <v>261</v>
      </c>
      <c r="B15" s="152"/>
      <c r="C15" s="115"/>
      <c r="D15" s="115"/>
      <c r="E15" s="153">
        <v>30681</v>
      </c>
      <c r="F15" s="153">
        <v>31686</v>
      </c>
      <c r="G15" s="117">
        <v>1</v>
      </c>
      <c r="H15" s="115" t="s">
        <v>67</v>
      </c>
      <c r="I15" s="180">
        <f>ROUND((DAYS360(E15,F15)/30),1)*G15</f>
        <v>33</v>
      </c>
      <c r="J15" s="307">
        <f>+I15</f>
        <v>33</v>
      </c>
      <c r="K15" s="65" t="s">
        <v>41</v>
      </c>
      <c r="L15" s="317">
        <v>50000</v>
      </c>
      <c r="M15" s="184">
        <f>+IF(L15&gt;=20000,2,IF(L15&gt;=10000,1,0))</f>
        <v>2</v>
      </c>
    </row>
    <row r="16" spans="1:13" ht="14.25">
      <c r="A16" s="160">
        <v>262</v>
      </c>
      <c r="B16" s="152"/>
      <c r="C16" s="115"/>
      <c r="D16" s="115"/>
      <c r="E16" s="116">
        <v>32016</v>
      </c>
      <c r="F16" s="116">
        <v>32871</v>
      </c>
      <c r="G16" s="117">
        <v>1</v>
      </c>
      <c r="H16" s="115" t="s">
        <v>67</v>
      </c>
      <c r="I16" s="180">
        <f>ROUND((DAYS360(E16,F16)/30),1)*G16</f>
        <v>28.1</v>
      </c>
      <c r="J16" s="307">
        <f>+I16</f>
        <v>28.1</v>
      </c>
      <c r="K16" s="65" t="s">
        <v>41</v>
      </c>
      <c r="L16">
        <v>18000</v>
      </c>
      <c r="M16" s="184">
        <f>+IF(L16&gt;=20000,2,IF(L16&gt;=10000,1,0))</f>
        <v>1</v>
      </c>
    </row>
    <row r="17" spans="1:13" ht="14.25">
      <c r="A17" s="160">
        <v>262</v>
      </c>
      <c r="B17" s="152"/>
      <c r="C17" s="115"/>
      <c r="D17" s="115"/>
      <c r="E17" s="153">
        <v>32873</v>
      </c>
      <c r="F17" s="153">
        <v>33418</v>
      </c>
      <c r="G17" s="117">
        <v>1</v>
      </c>
      <c r="H17" s="152" t="s">
        <v>67</v>
      </c>
      <c r="I17" s="180">
        <f>ROUND((DAYS360(E17,F17)/30),1)*G17</f>
        <v>18</v>
      </c>
      <c r="J17" s="307">
        <f>+I17</f>
        <v>18</v>
      </c>
      <c r="K17" s="65" t="s">
        <v>41</v>
      </c>
      <c r="M17" s="184">
        <f>+IF(L17&gt;=20000,2,IF(L17&gt;=10000,1,0))</f>
        <v>0</v>
      </c>
    </row>
    <row r="18" spans="1:13" ht="14.25">
      <c r="A18" s="160">
        <v>262</v>
      </c>
      <c r="B18" s="152"/>
      <c r="C18" s="115"/>
      <c r="D18" s="115"/>
      <c r="E18" s="153">
        <v>33419</v>
      </c>
      <c r="F18" s="153">
        <v>33968</v>
      </c>
      <c r="G18" s="117">
        <v>1</v>
      </c>
      <c r="H18" s="152" t="s">
        <v>67</v>
      </c>
      <c r="I18" s="180">
        <f>ROUND((DAYS360(E18,F18)/30),1)*G18</f>
        <v>18</v>
      </c>
      <c r="J18" s="307">
        <f>+I18</f>
        <v>18</v>
      </c>
      <c r="K18" s="65" t="s">
        <v>41</v>
      </c>
      <c r="M18" s="184">
        <f>+IF(L18&gt;=20000,2,IF(L18&gt;=10000,1,0))</f>
        <v>0</v>
      </c>
    </row>
    <row r="19" spans="1:13" ht="15" thickBot="1">
      <c r="A19" s="192"/>
      <c r="B19" s="193"/>
      <c r="C19" s="194"/>
      <c r="D19" s="194"/>
      <c r="E19" s="195"/>
      <c r="F19" s="195"/>
      <c r="G19" s="196"/>
      <c r="H19" s="194"/>
      <c r="I19" s="260"/>
      <c r="J19" s="198"/>
      <c r="K19" s="197"/>
      <c r="M19" s="184">
        <f>+IF(L19&gt;=20000,2,IF(L19&gt;=10000,1,0))</f>
        <v>0</v>
      </c>
    </row>
    <row r="20" spans="1:13" ht="15" thickBot="1">
      <c r="A20" s="66" t="s">
        <v>42</v>
      </c>
      <c r="B20" s="67"/>
      <c r="C20" s="67"/>
      <c r="D20" s="67"/>
      <c r="E20" s="68"/>
      <c r="F20" s="68"/>
      <c r="G20" s="69"/>
      <c r="H20" s="67"/>
      <c r="I20" s="261"/>
      <c r="J20" s="308">
        <f>SUM(J15:J19)</f>
        <v>97.1</v>
      </c>
      <c r="K20" s="252"/>
      <c r="L20" s="243"/>
      <c r="M20" s="318">
        <f>IF(SUM(M15:M19)&gt;=2,2,SUM(M15:M19))</f>
        <v>2</v>
      </c>
    </row>
    <row r="22" ht="15" thickBot="1"/>
    <row r="23" spans="1:24" ht="15" thickBot="1">
      <c r="A23" s="79" t="s">
        <v>90</v>
      </c>
      <c r="B23" s="79"/>
      <c r="C23" s="80"/>
      <c r="D23" s="81" t="str">
        <f>+'Exp. General del personal'!D31</f>
        <v>NOMBRE: LUIS ALEJANDRO RUIZ CEPEDA</v>
      </c>
      <c r="E23" s="81"/>
      <c r="F23" s="82"/>
      <c r="G23" s="83"/>
      <c r="H23" s="84"/>
      <c r="I23" s="84"/>
      <c r="J23" s="86"/>
      <c r="K23" s="85"/>
      <c r="L23" s="87"/>
      <c r="M23" s="88"/>
      <c r="N23" s="88"/>
      <c r="O23" s="89"/>
      <c r="P23" s="89"/>
      <c r="Q23" s="89"/>
      <c r="R23" s="89"/>
      <c r="S23" s="89"/>
      <c r="T23" s="89"/>
      <c r="U23" s="89"/>
      <c r="V23" s="89"/>
      <c r="W23" s="89"/>
      <c r="X23" s="89"/>
    </row>
    <row r="24" spans="1:24" ht="14.25">
      <c r="A24" s="89"/>
      <c r="B24" s="89"/>
      <c r="C24" s="90"/>
      <c r="D24" s="90"/>
      <c r="E24" s="91"/>
      <c r="F24" s="91"/>
      <c r="G24" s="91"/>
      <c r="H24" s="84"/>
      <c r="I24" s="84"/>
      <c r="J24" s="86"/>
      <c r="K24" s="85"/>
      <c r="L24" s="85"/>
      <c r="M24" s="88"/>
      <c r="N24" s="88"/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6" ht="15" thickBot="1"/>
    <row r="27" spans="1:12" ht="36">
      <c r="A27" s="71" t="s">
        <v>89</v>
      </c>
      <c r="B27" s="72" t="s">
        <v>56</v>
      </c>
      <c r="C27" s="72" t="s">
        <v>55</v>
      </c>
      <c r="D27" s="61" t="s">
        <v>34</v>
      </c>
      <c r="E27" s="415" t="s">
        <v>54</v>
      </c>
      <c r="F27" s="416"/>
      <c r="G27" s="73" t="s">
        <v>35</v>
      </c>
      <c r="H27" s="61" t="s">
        <v>36</v>
      </c>
      <c r="I27" s="242" t="s">
        <v>95</v>
      </c>
      <c r="J27" s="231" t="s">
        <v>38</v>
      </c>
      <c r="K27" s="258" t="s">
        <v>99</v>
      </c>
      <c r="L27" s="430" t="s">
        <v>105</v>
      </c>
    </row>
    <row r="28" spans="1:12" ht="23.25" thickBot="1">
      <c r="A28" s="75"/>
      <c r="B28" s="76"/>
      <c r="C28" s="76"/>
      <c r="D28" s="77"/>
      <c r="E28" s="62" t="s">
        <v>39</v>
      </c>
      <c r="F28" s="63" t="s">
        <v>40</v>
      </c>
      <c r="G28" s="113"/>
      <c r="H28" s="64"/>
      <c r="I28" s="262"/>
      <c r="J28" s="232"/>
      <c r="K28" s="114"/>
      <c r="L28" s="432"/>
    </row>
    <row r="29" spans="1:12" s="205" customFormat="1" ht="15" thickBot="1">
      <c r="A29" s="201">
        <v>301</v>
      </c>
      <c r="B29" s="202"/>
      <c r="C29" s="203"/>
      <c r="D29" s="203"/>
      <c r="E29" s="291">
        <v>29473</v>
      </c>
      <c r="F29" s="291">
        <v>30570</v>
      </c>
      <c r="G29" s="292">
        <v>1</v>
      </c>
      <c r="H29" s="293" t="s">
        <v>66</v>
      </c>
      <c r="I29" s="294">
        <f>ROUND((DAYS360(E29,F29)/30),1)*G29</f>
        <v>36.1</v>
      </c>
      <c r="J29" s="204" t="s">
        <v>41</v>
      </c>
      <c r="K29" s="205">
        <f>21024+8871</f>
        <v>29895</v>
      </c>
      <c r="L29" s="184">
        <f>+IF(K29&gt;=10000,2,IF(K29&gt;=5000,1,0))</f>
        <v>2</v>
      </c>
    </row>
    <row r="30" spans="1:12" s="205" customFormat="1" ht="14.25">
      <c r="A30" s="201">
        <v>302</v>
      </c>
      <c r="B30" s="219"/>
      <c r="C30" s="219"/>
      <c r="D30" s="219"/>
      <c r="E30" s="295">
        <v>30571</v>
      </c>
      <c r="F30" s="295">
        <v>31835</v>
      </c>
      <c r="G30" s="220">
        <v>1</v>
      </c>
      <c r="H30" s="214" t="s">
        <v>67</v>
      </c>
      <c r="I30" s="217">
        <f>ROUND((DAYS360(E30,F30)/30),1)*G30</f>
        <v>41.5</v>
      </c>
      <c r="J30" s="211" t="s">
        <v>41</v>
      </c>
      <c r="L30" s="184">
        <f>+IF(K30&gt;=10000,2,IF(K30&gt;=5000,1,0))</f>
        <v>0</v>
      </c>
    </row>
    <row r="31" spans="1:12" s="205" customFormat="1" ht="14.25">
      <c r="A31" s="207">
        <v>305</v>
      </c>
      <c r="B31" s="208"/>
      <c r="C31" s="209"/>
      <c r="D31" s="209"/>
      <c r="E31" s="215">
        <v>31850</v>
      </c>
      <c r="F31" s="215">
        <v>33433</v>
      </c>
      <c r="G31" s="220">
        <v>1</v>
      </c>
      <c r="H31" s="214" t="s">
        <v>66</v>
      </c>
      <c r="I31" s="296">
        <f>ROUND((DAYS360(E31,F31)/30),1)*G31</f>
        <v>52</v>
      </c>
      <c r="J31" s="211" t="s">
        <v>41</v>
      </c>
      <c r="L31" s="184">
        <f>+IF(K31&gt;=10000,2,IF(K31&gt;=5000,1,0))</f>
        <v>0</v>
      </c>
    </row>
    <row r="32" spans="1:12" s="205" customFormat="1" ht="14.25">
      <c r="A32" s="212">
        <v>304</v>
      </c>
      <c r="B32" s="213"/>
      <c r="C32" s="214"/>
      <c r="D32" s="214"/>
      <c r="E32" s="210">
        <v>33434</v>
      </c>
      <c r="F32" s="210">
        <v>33518</v>
      </c>
      <c r="G32" s="216">
        <v>1</v>
      </c>
      <c r="H32" s="213" t="s">
        <v>67</v>
      </c>
      <c r="I32" s="217">
        <f>ROUND((DAYS360(E32,F32)/30),1)*G32</f>
        <v>2.7</v>
      </c>
      <c r="J32" s="218" t="s">
        <v>41</v>
      </c>
      <c r="L32" s="184">
        <f>+IF(K32&gt;=10000,2,IF(K32&gt;=5000,1,0))</f>
        <v>0</v>
      </c>
    </row>
    <row r="33" spans="1:12" s="205" customFormat="1" ht="15" thickBot="1">
      <c r="A33" s="207">
        <v>305</v>
      </c>
      <c r="B33" s="208"/>
      <c r="C33" s="209"/>
      <c r="D33" s="209"/>
      <c r="E33" s="297">
        <v>33527</v>
      </c>
      <c r="F33" s="297">
        <v>34073</v>
      </c>
      <c r="G33" s="220">
        <v>1</v>
      </c>
      <c r="H33" s="214" t="s">
        <v>66</v>
      </c>
      <c r="I33" s="296">
        <f>ROUND((DAYS360(E33,F33)/30),1)*G33</f>
        <v>17.9</v>
      </c>
      <c r="J33" s="211" t="s">
        <v>41</v>
      </c>
      <c r="L33" s="184">
        <f>+IF(K33&gt;=10000,2,IF(K33&gt;=5000,1,0))</f>
        <v>0</v>
      </c>
    </row>
    <row r="34" spans="1:12" ht="15" thickBot="1">
      <c r="A34" s="66" t="s">
        <v>42</v>
      </c>
      <c r="B34" s="67"/>
      <c r="C34" s="67"/>
      <c r="D34" s="67"/>
      <c r="E34" s="68"/>
      <c r="F34" s="68"/>
      <c r="G34" s="69"/>
      <c r="H34" s="67"/>
      <c r="I34" s="263">
        <f>SUM(I29:I33)</f>
        <v>150.2</v>
      </c>
      <c r="J34" s="70">
        <f>+I34</f>
        <v>150.2</v>
      </c>
      <c r="K34" s="252" t="s">
        <v>139</v>
      </c>
      <c r="L34" s="184"/>
    </row>
    <row r="35" ht="15" thickBot="1">
      <c r="L35" s="318">
        <f>IF(SUM(L29:L33)&gt;=2,2,SUM(L30:L34))</f>
        <v>2</v>
      </c>
    </row>
    <row r="36" ht="15" thickBot="1"/>
    <row r="37" spans="1:24" ht="15" thickBot="1">
      <c r="A37" s="79" t="s">
        <v>91</v>
      </c>
      <c r="B37" s="79"/>
      <c r="C37" s="80"/>
      <c r="D37" s="81" t="str">
        <f>+'Exp. General del personal'!D50</f>
        <v>NOMBRE: JORGE ALBERTO GALINDO CARDENAS</v>
      </c>
      <c r="E37" s="81"/>
      <c r="F37" s="82"/>
      <c r="G37" s="83"/>
      <c r="H37" s="84"/>
      <c r="I37" s="84"/>
      <c r="J37" s="86"/>
      <c r="K37" s="85"/>
      <c r="L37" s="87"/>
      <c r="N37" s="88"/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24" ht="14.25">
      <c r="A38" s="89"/>
      <c r="B38" s="89"/>
      <c r="C38" s="90"/>
      <c r="D38" s="90"/>
      <c r="E38" s="91"/>
      <c r="F38" s="91"/>
      <c r="G38" s="91"/>
      <c r="H38" s="84"/>
      <c r="I38" s="84"/>
      <c r="J38" s="86"/>
      <c r="K38" s="85"/>
      <c r="L38" s="85"/>
      <c r="N38" s="88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40" ht="15" thickBot="1"/>
    <row r="41" spans="1:13" ht="36" customHeight="1">
      <c r="A41" s="71" t="s">
        <v>33</v>
      </c>
      <c r="B41" s="72" t="s">
        <v>56</v>
      </c>
      <c r="C41" s="72" t="s">
        <v>55</v>
      </c>
      <c r="D41" s="61" t="s">
        <v>34</v>
      </c>
      <c r="E41" s="415" t="s">
        <v>54</v>
      </c>
      <c r="F41" s="416"/>
      <c r="G41" s="73" t="s">
        <v>35</v>
      </c>
      <c r="H41" s="61" t="s">
        <v>36</v>
      </c>
      <c r="J41" s="242" t="s">
        <v>95</v>
      </c>
      <c r="K41" s="411" t="s">
        <v>38</v>
      </c>
      <c r="L41" s="258" t="s">
        <v>99</v>
      </c>
      <c r="M41" s="430" t="s">
        <v>105</v>
      </c>
    </row>
    <row r="42" spans="1:13" ht="23.25" thickBot="1">
      <c r="A42" s="75"/>
      <c r="B42" s="76"/>
      <c r="C42" s="76"/>
      <c r="D42" s="77"/>
      <c r="E42" s="62" t="s">
        <v>39</v>
      </c>
      <c r="F42" s="63" t="s">
        <v>40</v>
      </c>
      <c r="G42" s="113"/>
      <c r="H42" s="64"/>
      <c r="I42" s="262"/>
      <c r="J42" s="78"/>
      <c r="K42" s="433"/>
      <c r="L42" s="114"/>
      <c r="M42" s="432"/>
    </row>
    <row r="43" spans="1:13" s="205" customFormat="1" ht="22.5">
      <c r="A43" s="298">
        <v>291</v>
      </c>
      <c r="B43" s="299"/>
      <c r="C43" s="299"/>
      <c r="D43" s="298"/>
      <c r="E43" s="300">
        <v>33578</v>
      </c>
      <c r="F43" s="304">
        <v>33661</v>
      </c>
      <c r="G43" s="301">
        <v>1</v>
      </c>
      <c r="H43" s="302" t="s">
        <v>128</v>
      </c>
      <c r="I43" s="305">
        <f>ROUND((DAYS360(E43,F43)/30),2)*G43</f>
        <v>2.7</v>
      </c>
      <c r="J43" s="303" t="s">
        <v>41</v>
      </c>
      <c r="K43" s="221"/>
      <c r="L43" s="205">
        <v>2100</v>
      </c>
      <c r="M43" s="184">
        <f>+IF(L43&gt;=10000,2,IF(L43&gt;=5000,1,0))</f>
        <v>0</v>
      </c>
    </row>
    <row r="44" spans="1:13" s="205" customFormat="1" ht="22.5">
      <c r="A44" s="298">
        <v>290</v>
      </c>
      <c r="B44" s="299"/>
      <c r="C44" s="299"/>
      <c r="D44" s="298"/>
      <c r="E44" s="300">
        <v>33724</v>
      </c>
      <c r="F44" s="300">
        <v>33846</v>
      </c>
      <c r="G44" s="301">
        <v>1</v>
      </c>
      <c r="H44" s="302" t="s">
        <v>128</v>
      </c>
      <c r="I44" s="296">
        <f aca="true" t="shared" si="0" ref="I44:I55">ROUND((DAYS360(E44,F44)/30),1)*G44</f>
        <v>4</v>
      </c>
      <c r="J44" s="303" t="s">
        <v>41</v>
      </c>
      <c r="K44" s="219" t="str">
        <f>+IF(E44&gt;=F43,"OK","TRASLAPO")</f>
        <v>OK</v>
      </c>
      <c r="L44" s="219">
        <v>15600</v>
      </c>
      <c r="M44" s="184">
        <f aca="true" t="shared" si="1" ref="M44:M55">+IF(L44&gt;=10000,2,IF(L44&gt;=5000,1,0))</f>
        <v>2</v>
      </c>
    </row>
    <row r="45" spans="1:13" s="205" customFormat="1" ht="22.5">
      <c r="A45" s="298">
        <v>288</v>
      </c>
      <c r="B45" s="299"/>
      <c r="C45" s="299"/>
      <c r="D45" s="298"/>
      <c r="E45" s="300">
        <v>33969</v>
      </c>
      <c r="F45" s="304">
        <v>34119</v>
      </c>
      <c r="G45" s="301">
        <v>1</v>
      </c>
      <c r="H45" s="302" t="s">
        <v>128</v>
      </c>
      <c r="I45" s="296">
        <f t="shared" si="0"/>
        <v>5</v>
      </c>
      <c r="J45" s="303" t="s">
        <v>41</v>
      </c>
      <c r="K45" s="219" t="str">
        <f>+IF(E45&gt;=F44,"OK","TRASLAPO")</f>
        <v>OK</v>
      </c>
      <c r="L45" s="219">
        <v>25000</v>
      </c>
      <c r="M45" s="184">
        <f t="shared" si="1"/>
        <v>2</v>
      </c>
    </row>
    <row r="46" spans="1:13" s="205" customFormat="1" ht="24" customHeight="1">
      <c r="A46" s="298">
        <v>287</v>
      </c>
      <c r="B46" s="299"/>
      <c r="C46" s="299"/>
      <c r="D46" s="298"/>
      <c r="E46" s="300">
        <v>34216</v>
      </c>
      <c r="F46" s="300">
        <v>34755</v>
      </c>
      <c r="G46" s="301">
        <v>1</v>
      </c>
      <c r="H46" s="302" t="s">
        <v>141</v>
      </c>
      <c r="I46" s="296">
        <f t="shared" si="0"/>
        <v>17.7</v>
      </c>
      <c r="J46" s="303" t="s">
        <v>41</v>
      </c>
      <c r="K46" s="219" t="str">
        <f aca="true" t="shared" si="2" ref="K46:K55">+IF(E46&gt;=F45,"OK","TRASLAPO")</f>
        <v>OK</v>
      </c>
      <c r="L46" s="219"/>
      <c r="M46" s="184">
        <f t="shared" si="1"/>
        <v>0</v>
      </c>
    </row>
    <row r="47" spans="1:13" s="205" customFormat="1" ht="22.5">
      <c r="A47" s="298">
        <v>286</v>
      </c>
      <c r="B47" s="299"/>
      <c r="C47" s="299"/>
      <c r="D47" s="298"/>
      <c r="E47" s="300">
        <v>34880</v>
      </c>
      <c r="F47" s="300">
        <v>35215</v>
      </c>
      <c r="G47" s="301">
        <v>1</v>
      </c>
      <c r="H47" s="302" t="s">
        <v>128</v>
      </c>
      <c r="I47" s="296">
        <f t="shared" si="0"/>
        <v>11</v>
      </c>
      <c r="J47" s="303" t="s">
        <v>41</v>
      </c>
      <c r="K47" s="219" t="str">
        <f t="shared" si="2"/>
        <v>OK</v>
      </c>
      <c r="L47" s="219">
        <v>37000</v>
      </c>
      <c r="M47" s="184">
        <f t="shared" si="1"/>
        <v>2</v>
      </c>
    </row>
    <row r="48" spans="1:13" s="205" customFormat="1" ht="22.5">
      <c r="A48" s="298">
        <v>285</v>
      </c>
      <c r="B48" s="299"/>
      <c r="C48" s="299"/>
      <c r="D48" s="298"/>
      <c r="E48" s="300">
        <v>35216</v>
      </c>
      <c r="F48" s="300">
        <v>35337</v>
      </c>
      <c r="G48" s="301">
        <v>1</v>
      </c>
      <c r="H48" s="302" t="s">
        <v>145</v>
      </c>
      <c r="I48" s="296">
        <f t="shared" si="0"/>
        <v>4</v>
      </c>
      <c r="J48" s="303" t="s">
        <v>41</v>
      </c>
      <c r="K48" s="219" t="str">
        <f t="shared" si="2"/>
        <v>OK</v>
      </c>
      <c r="L48" s="219">
        <v>3550</v>
      </c>
      <c r="M48" s="184">
        <f t="shared" si="1"/>
        <v>0</v>
      </c>
    </row>
    <row r="49" spans="1:13" s="205" customFormat="1" ht="22.5">
      <c r="A49" s="298">
        <v>284</v>
      </c>
      <c r="B49" s="299"/>
      <c r="C49" s="299"/>
      <c r="D49" s="298"/>
      <c r="E49" s="300">
        <v>35488</v>
      </c>
      <c r="F49" s="300">
        <v>35611</v>
      </c>
      <c r="G49" s="301">
        <v>1</v>
      </c>
      <c r="H49" s="302" t="s">
        <v>128</v>
      </c>
      <c r="I49" s="296">
        <f t="shared" si="0"/>
        <v>4</v>
      </c>
      <c r="J49" s="303" t="s">
        <v>41</v>
      </c>
      <c r="K49" s="219" t="str">
        <f t="shared" si="2"/>
        <v>OK</v>
      </c>
      <c r="L49" s="219">
        <v>20923</v>
      </c>
      <c r="M49" s="184">
        <f t="shared" si="1"/>
        <v>2</v>
      </c>
    </row>
    <row r="50" spans="1:13" s="205" customFormat="1" ht="14.25">
      <c r="A50" s="298">
        <v>283</v>
      </c>
      <c r="B50" s="299"/>
      <c r="C50" s="299"/>
      <c r="D50" s="298"/>
      <c r="E50" s="300">
        <v>35976</v>
      </c>
      <c r="F50" s="304">
        <v>36067</v>
      </c>
      <c r="G50" s="301">
        <v>1</v>
      </c>
      <c r="H50" s="302" t="s">
        <v>66</v>
      </c>
      <c r="I50" s="296">
        <f t="shared" si="0"/>
        <v>3</v>
      </c>
      <c r="J50" s="303" t="s">
        <v>41</v>
      </c>
      <c r="K50" s="219" t="str">
        <f t="shared" si="2"/>
        <v>OK</v>
      </c>
      <c r="L50" s="219"/>
      <c r="M50" s="184">
        <f>+IF(L50&gt;=10000,2,IF(L50&gt;=5000,1,0))</f>
        <v>0</v>
      </c>
    </row>
    <row r="51" spans="1:13" s="205" customFormat="1" ht="14.25">
      <c r="A51" s="298">
        <v>281</v>
      </c>
      <c r="B51" s="299"/>
      <c r="C51" s="299"/>
      <c r="D51" s="298"/>
      <c r="E51" s="300">
        <v>36646</v>
      </c>
      <c r="F51" s="300">
        <v>36980</v>
      </c>
      <c r="G51" s="301">
        <v>1</v>
      </c>
      <c r="H51" s="302" t="s">
        <v>66</v>
      </c>
      <c r="I51" s="296">
        <f t="shared" si="0"/>
        <v>11</v>
      </c>
      <c r="J51" s="303" t="s">
        <v>41</v>
      </c>
      <c r="K51" s="219" t="str">
        <f t="shared" si="2"/>
        <v>OK</v>
      </c>
      <c r="L51" s="219"/>
      <c r="M51" s="184">
        <f t="shared" si="1"/>
        <v>0</v>
      </c>
    </row>
    <row r="52" spans="1:13" s="205" customFormat="1" ht="14.25">
      <c r="A52" s="298">
        <v>280</v>
      </c>
      <c r="B52" s="299"/>
      <c r="C52" s="299"/>
      <c r="D52" s="298"/>
      <c r="E52" s="300">
        <v>37189</v>
      </c>
      <c r="F52" s="300">
        <v>37589</v>
      </c>
      <c r="G52" s="301">
        <v>1</v>
      </c>
      <c r="H52" s="302" t="s">
        <v>66</v>
      </c>
      <c r="I52" s="296">
        <f t="shared" si="0"/>
        <v>13.1</v>
      </c>
      <c r="J52" s="303" t="s">
        <v>41</v>
      </c>
      <c r="K52" s="219" t="str">
        <f t="shared" si="2"/>
        <v>OK</v>
      </c>
      <c r="L52" s="219"/>
      <c r="M52" s="184">
        <f t="shared" si="1"/>
        <v>0</v>
      </c>
    </row>
    <row r="53" spans="1:13" s="205" customFormat="1" ht="14.25">
      <c r="A53" s="298">
        <v>278</v>
      </c>
      <c r="B53" s="299"/>
      <c r="C53" s="299"/>
      <c r="D53" s="298"/>
      <c r="E53" s="300">
        <v>37740</v>
      </c>
      <c r="F53" s="300">
        <v>38091</v>
      </c>
      <c r="G53" s="301">
        <v>1</v>
      </c>
      <c r="H53" s="302" t="s">
        <v>66</v>
      </c>
      <c r="I53" s="296">
        <f t="shared" si="0"/>
        <v>11.5</v>
      </c>
      <c r="J53" s="303" t="s">
        <v>41</v>
      </c>
      <c r="K53" s="219" t="str">
        <f t="shared" si="2"/>
        <v>OK</v>
      </c>
      <c r="L53" s="219"/>
      <c r="M53" s="184">
        <f t="shared" si="1"/>
        <v>0</v>
      </c>
    </row>
    <row r="54" spans="1:13" s="205" customFormat="1" ht="24.75" customHeight="1">
      <c r="A54" s="298">
        <v>277</v>
      </c>
      <c r="B54" s="299"/>
      <c r="C54" s="299"/>
      <c r="D54" s="298"/>
      <c r="E54" s="300">
        <v>38103</v>
      </c>
      <c r="F54" s="300">
        <v>38274</v>
      </c>
      <c r="G54" s="301">
        <v>1</v>
      </c>
      <c r="H54" s="302" t="s">
        <v>59</v>
      </c>
      <c r="I54" s="296">
        <f t="shared" si="0"/>
        <v>5.6</v>
      </c>
      <c r="J54" s="303" t="s">
        <v>41</v>
      </c>
      <c r="K54" s="219" t="str">
        <f t="shared" si="2"/>
        <v>OK</v>
      </c>
      <c r="L54" s="219"/>
      <c r="M54" s="184">
        <f t="shared" si="1"/>
        <v>0</v>
      </c>
    </row>
    <row r="55" spans="1:13" s="205" customFormat="1" ht="21.75" customHeight="1" thickBot="1">
      <c r="A55" s="298">
        <v>276</v>
      </c>
      <c r="B55" s="299"/>
      <c r="C55" s="299"/>
      <c r="D55" s="298"/>
      <c r="E55" s="300">
        <v>38274</v>
      </c>
      <c r="F55" s="300">
        <v>38325</v>
      </c>
      <c r="G55" s="301">
        <v>1</v>
      </c>
      <c r="H55" s="302" t="s">
        <v>59</v>
      </c>
      <c r="I55" s="296">
        <f t="shared" si="0"/>
        <v>1.7</v>
      </c>
      <c r="J55" s="303" t="s">
        <v>41</v>
      </c>
      <c r="K55" s="219" t="str">
        <f t="shared" si="2"/>
        <v>OK</v>
      </c>
      <c r="L55" s="219"/>
      <c r="M55" s="184">
        <f t="shared" si="1"/>
        <v>0</v>
      </c>
    </row>
    <row r="56" spans="1:13" ht="15" thickBot="1">
      <c r="A56" s="66" t="s">
        <v>42</v>
      </c>
      <c r="B56" s="67"/>
      <c r="C56" s="67"/>
      <c r="D56" s="67"/>
      <c r="E56" s="68"/>
      <c r="F56" s="68"/>
      <c r="G56" s="69"/>
      <c r="H56" s="67"/>
      <c r="I56" s="319">
        <f>SUM(I43:I55)</f>
        <v>94.3</v>
      </c>
      <c r="J56" s="181"/>
      <c r="K56" s="320">
        <f>+I56</f>
        <v>94.3</v>
      </c>
      <c r="L56" s="306" t="s">
        <v>139</v>
      </c>
      <c r="M56" s="318">
        <f>IF(SUM(M43:M55)&gt;=2,2,SUM(M43:M55))</f>
        <v>2</v>
      </c>
    </row>
    <row r="58" ht="15" thickBot="1">
      <c r="E58" s="170"/>
    </row>
    <row r="59" ht="15" thickBot="1">
      <c r="M59" s="243"/>
    </row>
  </sheetData>
  <sheetProtection/>
  <mergeCells count="13">
    <mergeCell ref="M13:M14"/>
    <mergeCell ref="L27:L28"/>
    <mergeCell ref="M41:M42"/>
    <mergeCell ref="E27:F27"/>
    <mergeCell ref="E41:F41"/>
    <mergeCell ref="K41:K42"/>
    <mergeCell ref="A4:L4"/>
    <mergeCell ref="E13:F13"/>
    <mergeCell ref="K13:K14"/>
    <mergeCell ref="B1:E1"/>
    <mergeCell ref="B2:E2"/>
    <mergeCell ref="B3:E3"/>
    <mergeCell ref="A8:L8"/>
  </mergeCells>
  <conditionalFormatting sqref="A56:K56 J27:K27 H41:H44 I42:I44 A41:E41 A29:J34 A37:L38 N37:IV38 A23:IV24 A27:E27 H27:I33 E28:F33 A20:J20 J13:L13 B9:L10 A13:E13 K15:K19 E14:F15 A6:A10 M6:IV10 B6:L7 J19 A15:F19 H13:H19 I14:I19 J41:L41 E42:F55 H43:I55">
    <cfRule type="cellIs" priority="17" dxfId="2" operator="equal" stopIfTrue="1">
      <formula>"No cumple"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7"/>
  <sheetViews>
    <sheetView zoomScale="73" zoomScaleNormal="73" zoomScalePageLayoutView="0" workbookViewId="0" topLeftCell="A39">
      <selection activeCell="F54" sqref="F54"/>
    </sheetView>
  </sheetViews>
  <sheetFormatPr defaultColWidth="11.19921875" defaultRowHeight="14.25"/>
  <cols>
    <col min="1" max="1" width="23.69921875" style="15" bestFit="1" customWidth="1"/>
    <col min="2" max="2" width="14" style="15" customWidth="1"/>
    <col min="3" max="3" width="12.19921875" style="15" customWidth="1"/>
    <col min="4" max="4" width="12.796875" style="15" customWidth="1"/>
    <col min="5" max="5" width="18" style="15" customWidth="1"/>
    <col min="6" max="6" width="16.796875" style="15" bestFit="1" customWidth="1"/>
    <col min="7" max="7" width="13.3984375" style="15" customWidth="1"/>
    <col min="8" max="16384" width="11.19921875" style="15" customWidth="1"/>
  </cols>
  <sheetData>
    <row r="1" spans="2:45" s="1" customFormat="1" ht="14.25">
      <c r="B1" s="325" t="s">
        <v>4</v>
      </c>
      <c r="C1" s="326"/>
      <c r="D1" s="326"/>
      <c r="E1" s="326"/>
      <c r="F1" s="236"/>
      <c r="G1" s="237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 t="s">
        <v>6</v>
      </c>
      <c r="AR1" s="10"/>
      <c r="AS1" s="11"/>
    </row>
    <row r="2" spans="2:45" s="1" customFormat="1" ht="14.25">
      <c r="B2" s="328" t="s">
        <v>5</v>
      </c>
      <c r="C2" s="329"/>
      <c r="D2" s="329"/>
      <c r="E2" s="329"/>
      <c r="F2" s="238"/>
      <c r="G2" s="239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7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 t="s">
        <v>1</v>
      </c>
      <c r="AR2" s="10"/>
      <c r="AS2" s="11"/>
    </row>
    <row r="3" spans="2:45" s="1" customFormat="1" ht="15" thickBot="1">
      <c r="B3" s="422" t="s">
        <v>71</v>
      </c>
      <c r="C3" s="423"/>
      <c r="D3" s="423"/>
      <c r="E3" s="423"/>
      <c r="F3" s="240"/>
      <c r="G3" s="241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</row>
    <row r="4" spans="1:43" s="1" customFormat="1" ht="29.25" customHeight="1">
      <c r="A4" s="331"/>
      <c r="B4" s="332"/>
      <c r="C4" s="332"/>
      <c r="D4" s="332"/>
      <c r="E4" s="332"/>
      <c r="F4" s="332"/>
      <c r="G4" s="332"/>
      <c r="H4" s="332"/>
      <c r="I4" s="332"/>
      <c r="J4" s="332"/>
      <c r="K4" s="333"/>
      <c r="L4" s="1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5"/>
      <c r="AL4" s="15"/>
      <c r="AM4" s="15"/>
      <c r="AN4" s="15"/>
      <c r="AO4" s="15"/>
      <c r="AP4" s="15"/>
      <c r="AQ4" s="15"/>
    </row>
    <row r="5" spans="1:43" s="1" customFormat="1" ht="14.25">
      <c r="A5" s="16"/>
      <c r="B5" s="25"/>
      <c r="C5" s="46"/>
      <c r="D5" s="46"/>
      <c r="E5" s="46"/>
      <c r="F5" s="46"/>
      <c r="G5" s="46"/>
      <c r="H5" s="46"/>
      <c r="I5" s="46"/>
      <c r="J5" s="46"/>
      <c r="K5" s="47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5"/>
      <c r="AL5" s="15"/>
      <c r="AM5" s="15"/>
      <c r="AN5" s="15"/>
      <c r="AO5" s="15"/>
      <c r="AP5" s="15"/>
      <c r="AQ5" s="15"/>
    </row>
    <row r="6" spans="1:43" s="1" customFormat="1" ht="14.25">
      <c r="A6" s="16"/>
      <c r="B6" s="25"/>
      <c r="C6" s="46"/>
      <c r="D6" s="46"/>
      <c r="E6" s="46"/>
      <c r="F6" s="46"/>
      <c r="G6" s="46"/>
      <c r="H6" s="46"/>
      <c r="I6" s="46"/>
      <c r="J6" s="46"/>
      <c r="K6" s="47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5"/>
      <c r="AL6" s="15"/>
      <c r="AM6" s="15"/>
      <c r="AN6" s="15"/>
      <c r="AO6" s="15"/>
      <c r="AP6" s="15"/>
      <c r="AQ6" s="15"/>
    </row>
    <row r="7" spans="1:43" s="1" customFormat="1" ht="14.25">
      <c r="A7" s="49" t="s">
        <v>96</v>
      </c>
      <c r="B7" s="18" t="str">
        <f>+'Exp. como constructor'!E11</f>
        <v>UNION TEMPORAL GLOBAL</v>
      </c>
      <c r="C7" s="19"/>
      <c r="D7" s="20"/>
      <c r="E7" s="21"/>
      <c r="F7" s="21"/>
      <c r="G7" s="21"/>
      <c r="H7" s="21"/>
      <c r="I7" s="21"/>
      <c r="J7" s="21"/>
      <c r="K7" s="50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5"/>
      <c r="AL7" s="15"/>
      <c r="AM7" s="15"/>
      <c r="AN7" s="15"/>
      <c r="AO7" s="15"/>
      <c r="AP7" s="15"/>
      <c r="AQ7" s="15"/>
    </row>
    <row r="8" spans="1:43" s="1" customFormat="1" ht="14.25">
      <c r="A8" s="51"/>
      <c r="B8" s="18"/>
      <c r="C8" s="19"/>
      <c r="D8" s="7"/>
      <c r="E8" s="46"/>
      <c r="F8" s="7"/>
      <c r="G8" s="7"/>
      <c r="H8" s="7"/>
      <c r="I8" s="7"/>
      <c r="J8" s="7"/>
      <c r="K8" s="13"/>
      <c r="L8" s="17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5"/>
      <c r="AL8" s="15"/>
      <c r="AM8" s="15"/>
      <c r="AN8" s="15"/>
      <c r="AO8" s="15"/>
      <c r="AP8" s="15"/>
      <c r="AQ8" s="15"/>
    </row>
    <row r="9" spans="1:43" s="1" customFormat="1" ht="14.25">
      <c r="A9" s="6"/>
      <c r="B9" s="3"/>
      <c r="C9" s="7"/>
      <c r="D9" s="4"/>
      <c r="E9" s="7"/>
      <c r="F9" s="7"/>
      <c r="G9" s="7"/>
      <c r="H9" s="7"/>
      <c r="I9" s="7"/>
      <c r="J9" s="7"/>
      <c r="K9" s="1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5"/>
      <c r="AL9" s="15"/>
      <c r="AM9" s="15"/>
      <c r="AN9" s="15"/>
      <c r="AO9" s="15"/>
      <c r="AP9" s="15"/>
      <c r="AQ9" s="15"/>
    </row>
    <row r="10" spans="1:11" ht="14.25">
      <c r="A10" s="121"/>
      <c r="B10" s="40"/>
      <c r="C10" s="40"/>
      <c r="D10" s="40"/>
      <c r="E10" s="40"/>
      <c r="F10" s="40"/>
      <c r="G10" s="40"/>
      <c r="H10" s="39"/>
      <c r="I10" s="39"/>
      <c r="J10" s="39"/>
      <c r="K10" s="54"/>
    </row>
    <row r="11" spans="1:11" ht="14.25">
      <c r="A11" s="436" t="s">
        <v>32</v>
      </c>
      <c r="B11" s="437"/>
      <c r="C11" s="437"/>
      <c r="D11" s="437"/>
      <c r="E11" s="437"/>
      <c r="F11" s="39"/>
      <c r="G11" s="39"/>
      <c r="H11" s="39"/>
      <c r="I11" s="39"/>
      <c r="J11" s="39"/>
      <c r="K11" s="54"/>
    </row>
    <row r="12" spans="1:11" ht="15" thickBot="1">
      <c r="A12" s="125"/>
      <c r="B12" s="122"/>
      <c r="C12" s="122"/>
      <c r="D12" s="122"/>
      <c r="E12" s="122"/>
      <c r="F12" s="39"/>
      <c r="G12" s="39"/>
      <c r="H12" s="39"/>
      <c r="I12" s="39"/>
      <c r="J12" s="39"/>
      <c r="K12" s="54"/>
    </row>
    <row r="13" spans="1:11" ht="48.75" customHeight="1" thickBot="1">
      <c r="A13" s="127" t="s">
        <v>27</v>
      </c>
      <c r="B13" s="438" t="s">
        <v>28</v>
      </c>
      <c r="C13" s="439"/>
      <c r="D13" s="128" t="s">
        <v>29</v>
      </c>
      <c r="E13" s="14"/>
      <c r="F13" s="39"/>
      <c r="G13" s="39"/>
      <c r="H13" s="39"/>
      <c r="I13" s="39"/>
      <c r="J13" s="39"/>
      <c r="K13" s="54"/>
    </row>
    <row r="14" spans="1:11" ht="14.25">
      <c r="A14" s="129" t="s">
        <v>59</v>
      </c>
      <c r="B14" s="434">
        <f>+'Exp. General del personal'!J28</f>
        <v>128.9</v>
      </c>
      <c r="C14" s="434"/>
      <c r="D14" s="130" t="str">
        <f>+IF(B14&gt;=120,"CUMPLE","NO CUMPLE")</f>
        <v>CUMPLE</v>
      </c>
      <c r="E14" s="14"/>
      <c r="F14" s="39"/>
      <c r="G14" s="39"/>
      <c r="H14" s="39"/>
      <c r="I14" s="39"/>
      <c r="J14" s="39"/>
      <c r="K14" s="54"/>
    </row>
    <row r="15" spans="1:11" ht="45" customHeight="1">
      <c r="A15" s="131" t="s">
        <v>109</v>
      </c>
      <c r="B15" s="440">
        <f>+'Exp. General del personal'!J47</f>
        <v>150.2</v>
      </c>
      <c r="C15" s="440"/>
      <c r="D15" s="132" t="str">
        <f>+IF(B15&gt;=120,"CUMPLE","NO CUMPLE")</f>
        <v>CUMPLE</v>
      </c>
      <c r="E15" s="14"/>
      <c r="F15" s="39"/>
      <c r="G15" s="39"/>
      <c r="H15" s="39"/>
      <c r="I15" s="39"/>
      <c r="J15" s="39"/>
      <c r="K15" s="54"/>
    </row>
    <row r="16" spans="1:11" ht="15" thickBot="1">
      <c r="A16" s="133" t="s">
        <v>110</v>
      </c>
      <c r="B16" s="442">
        <f>+'Exp. General del personal'!I79</f>
        <v>144.5</v>
      </c>
      <c r="C16" s="442"/>
      <c r="D16" s="134" t="str">
        <f>+IF(B16&gt;=120,"CUMPLE","NO CUMPLE")</f>
        <v>CUMPLE</v>
      </c>
      <c r="E16" s="14"/>
      <c r="F16" s="39"/>
      <c r="G16" s="39"/>
      <c r="H16" s="39"/>
      <c r="I16" s="39"/>
      <c r="J16" s="39"/>
      <c r="K16" s="54"/>
    </row>
    <row r="17" spans="1:11" ht="15" thickBot="1">
      <c r="A17" s="55"/>
      <c r="B17" s="39"/>
      <c r="C17" s="39"/>
      <c r="D17" s="14"/>
      <c r="E17" s="14"/>
      <c r="F17" s="39"/>
      <c r="G17" s="39"/>
      <c r="H17" s="39"/>
      <c r="I17" s="39"/>
      <c r="J17" s="39"/>
      <c r="K17" s="54"/>
    </row>
    <row r="18" spans="1:11" ht="42.75" customHeight="1" thickBot="1">
      <c r="A18" s="127" t="s">
        <v>27</v>
      </c>
      <c r="B18" s="443" t="s">
        <v>60</v>
      </c>
      <c r="C18" s="443"/>
      <c r="D18" s="128" t="s">
        <v>29</v>
      </c>
      <c r="E18" s="14"/>
      <c r="F18" s="39"/>
      <c r="G18" s="39"/>
      <c r="H18" s="39"/>
      <c r="I18" s="39"/>
      <c r="J18" s="39"/>
      <c r="K18" s="54"/>
    </row>
    <row r="19" spans="1:11" ht="14.25">
      <c r="A19" s="129" t="s">
        <v>59</v>
      </c>
      <c r="B19" s="434">
        <f>+'Exp. Especifica del personal'!J20</f>
        <v>97.1</v>
      </c>
      <c r="C19" s="434"/>
      <c r="D19" s="130" t="str">
        <f>+IF(B19&gt;=60,"CUMPLE","NO CUMPLE")</f>
        <v>CUMPLE</v>
      </c>
      <c r="E19" s="14"/>
      <c r="F19" s="39"/>
      <c r="G19" s="39"/>
      <c r="H19" s="39"/>
      <c r="I19" s="39"/>
      <c r="J19" s="39"/>
      <c r="K19" s="54"/>
    </row>
    <row r="20" spans="1:11" ht="45" customHeight="1">
      <c r="A20" s="131" t="s">
        <v>109</v>
      </c>
      <c r="B20" s="440">
        <f>+'Exp. Especifica del personal'!J34</f>
        <v>150.2</v>
      </c>
      <c r="C20" s="440"/>
      <c r="D20" s="132" t="str">
        <f>+IF(B20&gt;=60,"CUMPLE","NO CUMPLE")</f>
        <v>CUMPLE</v>
      </c>
      <c r="E20" s="14"/>
      <c r="F20" s="39"/>
      <c r="G20" s="39"/>
      <c r="H20" s="39"/>
      <c r="I20" s="39"/>
      <c r="J20" s="39"/>
      <c r="K20" s="54"/>
    </row>
    <row r="21" spans="1:11" ht="15" thickBot="1">
      <c r="A21" s="133" t="s">
        <v>110</v>
      </c>
      <c r="B21" s="441">
        <f>+'Exp. Especifica del personal'!K56</f>
        <v>94.3</v>
      </c>
      <c r="C21" s="441"/>
      <c r="D21" s="134" t="str">
        <f>+IF(B21&gt;=60,"CUMPLE","NO CUMPLE")</f>
        <v>CUMPLE</v>
      </c>
      <c r="E21" s="14"/>
      <c r="F21" s="39"/>
      <c r="G21" s="39"/>
      <c r="H21" s="39"/>
      <c r="I21" s="39"/>
      <c r="J21" s="39"/>
      <c r="K21" s="39"/>
    </row>
    <row r="22" spans="1:11" ht="14.25">
      <c r="A22" s="55"/>
      <c r="B22" s="39"/>
      <c r="C22" s="39"/>
      <c r="F22" s="39"/>
      <c r="G22" s="39"/>
      <c r="H22" s="39"/>
      <c r="I22" s="39"/>
      <c r="J22" s="39"/>
      <c r="K22" s="54"/>
    </row>
    <row r="23" spans="8:11" ht="14.25" customHeight="1">
      <c r="H23" s="14"/>
      <c r="I23" s="14"/>
      <c r="J23" s="14"/>
      <c r="K23" s="58"/>
    </row>
    <row r="24" spans="1:11" ht="15">
      <c r="A24" s="59"/>
      <c r="B24" s="41"/>
      <c r="C24" s="42"/>
      <c r="D24" s="43"/>
      <c r="E24" s="123"/>
      <c r="F24" s="123"/>
      <c r="H24" s="14"/>
      <c r="I24" s="14"/>
      <c r="J24" s="14"/>
      <c r="K24" s="58"/>
    </row>
    <row r="25" spans="1:11" ht="15.75" thickBot="1">
      <c r="A25" s="59"/>
      <c r="B25" s="41"/>
      <c r="C25" s="42"/>
      <c r="D25" s="43"/>
      <c r="E25" s="123"/>
      <c r="F25" s="123"/>
      <c r="H25" s="14"/>
      <c r="I25" s="14"/>
      <c r="J25" s="14"/>
      <c r="K25" s="58"/>
    </row>
    <row r="26" spans="1:13" ht="15" customHeight="1" thickBot="1">
      <c r="A26" s="444" t="s">
        <v>101</v>
      </c>
      <c r="B26" s="445"/>
      <c r="C26" s="445"/>
      <c r="D26" s="445"/>
      <c r="E26" s="446"/>
      <c r="F26" s="56"/>
      <c r="H26" s="14"/>
      <c r="I26" s="14"/>
      <c r="J26" s="14"/>
      <c r="K26" s="58"/>
      <c r="M26" s="124"/>
    </row>
    <row r="27" spans="1:13" ht="15" customHeight="1">
      <c r="A27" s="227"/>
      <c r="B27" s="228"/>
      <c r="C27" s="228"/>
      <c r="D27" s="228"/>
      <c r="E27" s="230"/>
      <c r="F27" s="56"/>
      <c r="H27" s="14"/>
      <c r="I27" s="14"/>
      <c r="J27" s="14"/>
      <c r="K27" s="58"/>
      <c r="M27" s="124"/>
    </row>
    <row r="28" spans="1:13" ht="15" customHeight="1" thickBot="1">
      <c r="A28" s="229"/>
      <c r="B28" s="230"/>
      <c r="C28" s="230"/>
      <c r="D28" s="230"/>
      <c r="E28" s="230"/>
      <c r="F28" s="56"/>
      <c r="H28" s="14"/>
      <c r="I28" s="14"/>
      <c r="J28" s="14"/>
      <c r="K28" s="58"/>
      <c r="M28" s="124"/>
    </row>
    <row r="29" spans="1:11" s="38" customFormat="1" ht="75" customHeight="1">
      <c r="A29" s="126" t="s">
        <v>27</v>
      </c>
      <c r="B29" s="265" t="s">
        <v>102</v>
      </c>
      <c r="C29" s="135" t="s">
        <v>61</v>
      </c>
      <c r="E29" s="123"/>
      <c r="F29" s="123"/>
      <c r="H29" s="56"/>
      <c r="I29" s="56"/>
      <c r="J29" s="56"/>
      <c r="K29" s="57"/>
    </row>
    <row r="30" spans="1:11" ht="15" thickBot="1">
      <c r="A30" s="133" t="s">
        <v>59</v>
      </c>
      <c r="B30" s="266">
        <f>+'Exp. Especifica del personal'!M20</f>
        <v>2</v>
      </c>
      <c r="C30" s="267">
        <f>+IF(B30&gt;=2,80,IF(B30&gt;=1,40,0))</f>
        <v>80</v>
      </c>
      <c r="E30" s="41"/>
      <c r="F30" s="123"/>
      <c r="H30" s="14"/>
      <c r="I30" s="14"/>
      <c r="J30" s="14"/>
      <c r="K30" s="58"/>
    </row>
    <row r="31" spans="1:11" ht="14.25">
      <c r="A31" s="224"/>
      <c r="B31" s="41"/>
      <c r="C31" s="257"/>
      <c r="D31" s="14"/>
      <c r="E31" s="41"/>
      <c r="F31" s="123"/>
      <c r="H31" s="14"/>
      <c r="I31" s="14"/>
      <c r="J31" s="14"/>
      <c r="K31" s="58"/>
    </row>
    <row r="32" spans="1:11" ht="28.5" customHeight="1" thickBot="1">
      <c r="A32" s="224"/>
      <c r="B32" s="41"/>
      <c r="C32" s="257"/>
      <c r="D32" s="14"/>
      <c r="E32" s="41"/>
      <c r="F32" s="123"/>
      <c r="H32" s="14"/>
      <c r="I32" s="14"/>
      <c r="J32" s="14"/>
      <c r="K32" s="58"/>
    </row>
    <row r="33" spans="1:11" ht="71.25">
      <c r="A33" s="126" t="s">
        <v>27</v>
      </c>
      <c r="B33" s="265" t="s">
        <v>104</v>
      </c>
      <c r="C33" s="135" t="s">
        <v>61</v>
      </c>
      <c r="D33" s="14"/>
      <c r="E33" s="41"/>
      <c r="F33" s="123"/>
      <c r="H33" s="14"/>
      <c r="I33" s="14"/>
      <c r="J33" s="14"/>
      <c r="K33" s="58"/>
    </row>
    <row r="34" spans="1:13" ht="43.5" customHeight="1" thickBot="1">
      <c r="A34" s="268" t="s">
        <v>103</v>
      </c>
      <c r="B34" s="269">
        <f>+'Exp. Especifica del personal'!L35</f>
        <v>2</v>
      </c>
      <c r="C34" s="270">
        <f>IF(B34&gt;=2,60,IF(B34&gt;=1,30,0))</f>
        <v>60</v>
      </c>
      <c r="E34" s="123"/>
      <c r="F34" s="123"/>
      <c r="H34" s="14"/>
      <c r="I34" s="14"/>
      <c r="J34" s="14"/>
      <c r="K34" s="58"/>
      <c r="M34" s="124"/>
    </row>
    <row r="35" spans="1:13" ht="43.5" customHeight="1" thickBot="1">
      <c r="A35" s="224"/>
      <c r="B35" s="41"/>
      <c r="C35" s="43"/>
      <c r="E35" s="123"/>
      <c r="F35" s="123"/>
      <c r="H35" s="14"/>
      <c r="I35" s="14"/>
      <c r="J35" s="14"/>
      <c r="K35" s="58"/>
      <c r="M35" s="124"/>
    </row>
    <row r="36" spans="1:13" ht="81" customHeight="1">
      <c r="A36" s="126" t="s">
        <v>27</v>
      </c>
      <c r="B36" s="265" t="s">
        <v>104</v>
      </c>
      <c r="C36" s="135" t="s">
        <v>61</v>
      </c>
      <c r="E36" s="123"/>
      <c r="F36" s="123"/>
      <c r="H36" s="14"/>
      <c r="I36" s="14"/>
      <c r="J36" s="14"/>
      <c r="K36" s="58"/>
      <c r="M36" s="124"/>
    </row>
    <row r="37" spans="1:11" ht="15" thickBot="1">
      <c r="A37" s="133" t="s">
        <v>144</v>
      </c>
      <c r="B37" s="264">
        <f>+'Exp. Especifica del personal'!M56</f>
        <v>2</v>
      </c>
      <c r="C37" s="270">
        <f>IF(B37&gt;=2,60,IF(B37&gt;=1,30,0))</f>
        <v>60</v>
      </c>
      <c r="E37" s="123"/>
      <c r="F37" s="123"/>
      <c r="H37" s="14"/>
      <c r="I37" s="14"/>
      <c r="J37" s="14"/>
      <c r="K37" s="58"/>
    </row>
    <row r="38" spans="1:11" ht="14.25">
      <c r="A38" s="59"/>
      <c r="B38" s="41"/>
      <c r="E38" s="123"/>
      <c r="F38" s="123"/>
      <c r="H38" s="14"/>
      <c r="I38" s="14"/>
      <c r="J38" s="14"/>
      <c r="K38" s="58"/>
    </row>
    <row r="39" spans="1:11" ht="15.75" thickBot="1">
      <c r="A39" s="59"/>
      <c r="B39" s="41"/>
      <c r="C39" s="255"/>
      <c r="D39" s="123"/>
      <c r="E39" s="123"/>
      <c r="F39" s="123"/>
      <c r="H39" s="14"/>
      <c r="I39" s="14"/>
      <c r="J39" s="14"/>
      <c r="K39" s="58"/>
    </row>
    <row r="40" spans="1:11" ht="19.5" thickBot="1">
      <c r="A40" s="59"/>
      <c r="B40" s="41"/>
      <c r="C40" s="271" t="s">
        <v>31</v>
      </c>
      <c r="D40" s="272">
        <f>+C30+C34+C37</f>
        <v>200</v>
      </c>
      <c r="E40" s="123"/>
      <c r="F40" s="123"/>
      <c r="H40" s="14"/>
      <c r="I40" s="14"/>
      <c r="J40" s="14"/>
      <c r="K40" s="58"/>
    </row>
    <row r="41" spans="1:11" ht="15">
      <c r="A41" s="59"/>
      <c r="B41" s="41"/>
      <c r="C41" s="255"/>
      <c r="D41" s="123"/>
      <c r="E41" s="123"/>
      <c r="F41" s="123"/>
      <c r="H41" s="14"/>
      <c r="I41" s="14"/>
      <c r="J41" s="14"/>
      <c r="K41" s="58"/>
    </row>
    <row r="42" spans="1:11" ht="15.75" thickBot="1">
      <c r="A42" s="59"/>
      <c r="B42" s="41"/>
      <c r="C42" s="255"/>
      <c r="D42" s="123"/>
      <c r="E42" s="123"/>
      <c r="F42" s="123"/>
      <c r="H42" s="14"/>
      <c r="I42" s="14"/>
      <c r="J42" s="14"/>
      <c r="K42" s="58"/>
    </row>
    <row r="43" spans="1:11" ht="50.25" customHeight="1" thickBot="1">
      <c r="A43" s="447" t="s">
        <v>98</v>
      </c>
      <c r="B43" s="448"/>
      <c r="C43" s="448"/>
      <c r="D43" s="448"/>
      <c r="E43" s="448"/>
      <c r="F43" s="449"/>
      <c r="H43" s="14"/>
      <c r="I43" s="14"/>
      <c r="J43" s="14"/>
      <c r="K43" s="58"/>
    </row>
    <row r="44" spans="1:11" ht="78.75" customHeight="1" thickBot="1">
      <c r="A44" s="447" t="s">
        <v>94</v>
      </c>
      <c r="B44" s="448"/>
      <c r="C44" s="448"/>
      <c r="D44" s="448"/>
      <c r="E44" s="448"/>
      <c r="F44" s="449"/>
      <c r="H44" s="14"/>
      <c r="I44" s="14"/>
      <c r="J44" s="14"/>
      <c r="K44" s="58"/>
    </row>
    <row r="45" spans="1:11" ht="15">
      <c r="A45" s="256"/>
      <c r="B45" s="41"/>
      <c r="C45" s="255"/>
      <c r="D45" s="123"/>
      <c r="E45" s="123"/>
      <c r="F45" s="123"/>
      <c r="H45" s="14"/>
      <c r="I45" s="14"/>
      <c r="J45" s="14"/>
      <c r="K45" s="58"/>
    </row>
    <row r="46" spans="1:11" ht="15.75" thickBot="1">
      <c r="A46" s="256"/>
      <c r="B46" s="41"/>
      <c r="C46" s="253"/>
      <c r="D46" s="254"/>
      <c r="E46" s="123"/>
      <c r="F46" s="123"/>
      <c r="H46" s="14"/>
      <c r="I46" s="14"/>
      <c r="J46" s="14"/>
      <c r="K46" s="58"/>
    </row>
    <row r="47" spans="1:13" ht="15" customHeight="1" thickBot="1">
      <c r="A47" s="444" t="s">
        <v>97</v>
      </c>
      <c r="B47" s="445"/>
      <c r="C47" s="445"/>
      <c r="D47" s="445"/>
      <c r="E47" s="446"/>
      <c r="F47" s="56"/>
      <c r="H47" s="14"/>
      <c r="I47" s="14"/>
      <c r="J47" s="14"/>
      <c r="K47" s="58"/>
      <c r="M47" s="124"/>
    </row>
    <row r="48" spans="1:13" ht="15" customHeight="1">
      <c r="A48" s="227"/>
      <c r="B48" s="228"/>
      <c r="C48" s="228"/>
      <c r="D48" s="228"/>
      <c r="E48" s="230"/>
      <c r="F48" s="56"/>
      <c r="H48" s="14"/>
      <c r="I48" s="14"/>
      <c r="J48" s="14"/>
      <c r="K48" s="58"/>
      <c r="M48" s="124"/>
    </row>
    <row r="49" spans="1:13" ht="15" customHeight="1">
      <c r="A49" s="230"/>
      <c r="B49" s="230"/>
      <c r="C49" s="230"/>
      <c r="D49" s="230"/>
      <c r="E49" s="230"/>
      <c r="F49" s="56"/>
      <c r="H49" s="14"/>
      <c r="I49" s="14"/>
      <c r="J49" s="14"/>
      <c r="K49" s="58"/>
      <c r="M49" s="124"/>
    </row>
    <row r="50" spans="1:13" ht="15" customHeight="1" thickBot="1">
      <c r="A50" s="229"/>
      <c r="B50" s="230"/>
      <c r="C50" s="230"/>
      <c r="D50" s="230"/>
      <c r="E50" s="230"/>
      <c r="F50" s="56"/>
      <c r="H50" s="14"/>
      <c r="I50" s="14"/>
      <c r="J50" s="14"/>
      <c r="K50" s="58"/>
      <c r="M50" s="124"/>
    </row>
    <row r="51" spans="1:11" s="38" customFormat="1" ht="39" customHeight="1">
      <c r="A51" s="126" t="s">
        <v>27</v>
      </c>
      <c r="B51" s="443" t="s">
        <v>140</v>
      </c>
      <c r="C51" s="443"/>
      <c r="D51" s="135" t="s">
        <v>61</v>
      </c>
      <c r="E51" s="123"/>
      <c r="F51" s="123"/>
      <c r="H51" s="56"/>
      <c r="I51" s="56"/>
      <c r="J51" s="56"/>
      <c r="K51" s="57"/>
    </row>
    <row r="52" spans="1:11" ht="14.25">
      <c r="A52" s="131" t="s">
        <v>59</v>
      </c>
      <c r="B52" s="435">
        <f>+B19</f>
        <v>97.1</v>
      </c>
      <c r="C52" s="435"/>
      <c r="D52" s="273">
        <f>IF(B52&gt;=84,80,IF(B52&lt;=60,0,+ROUND((3.333333*B52)-200,0)))</f>
        <v>80</v>
      </c>
      <c r="E52" s="123"/>
      <c r="F52" s="123"/>
      <c r="H52" s="14"/>
      <c r="I52" s="14"/>
      <c r="J52" s="14"/>
      <c r="K52" s="58"/>
    </row>
    <row r="53" spans="1:13" ht="43.5" customHeight="1">
      <c r="A53" s="131" t="s">
        <v>103</v>
      </c>
      <c r="B53" s="435">
        <f>+B20</f>
        <v>150.2</v>
      </c>
      <c r="C53" s="435"/>
      <c r="D53" s="273">
        <f>IF(B53&gt;=84,60,IF(B53&lt;=60,0,+ROUND((2.5*B53)-150,0)))</f>
        <v>60</v>
      </c>
      <c r="E53" s="123"/>
      <c r="F53" s="123"/>
      <c r="H53" s="14"/>
      <c r="I53" s="14"/>
      <c r="J53" s="14"/>
      <c r="K53" s="58"/>
      <c r="M53" s="124"/>
    </row>
    <row r="54" spans="1:11" ht="29.25" thickBot="1">
      <c r="A54" s="133" t="s">
        <v>30</v>
      </c>
      <c r="B54" s="435">
        <f>+B21</f>
        <v>94.3</v>
      </c>
      <c r="C54" s="435"/>
      <c r="D54" s="273">
        <f>IF(B54&gt;=84,60,IF(B54&lt;=60,0,+ROUND((2.5*B54)-150,0)))</f>
        <v>60</v>
      </c>
      <c r="E54" s="123"/>
      <c r="F54" s="123"/>
      <c r="H54" s="14"/>
      <c r="I54" s="14"/>
      <c r="J54" s="14"/>
      <c r="K54" s="58"/>
    </row>
    <row r="55" spans="1:11" ht="14.25">
      <c r="A55" s="59"/>
      <c r="B55" s="41"/>
      <c r="E55" s="123"/>
      <c r="F55" s="123"/>
      <c r="H55" s="14"/>
      <c r="I55" s="14"/>
      <c r="J55" s="14"/>
      <c r="K55" s="58"/>
    </row>
    <row r="56" ht="15" thickBot="1"/>
    <row r="57" spans="3:4" ht="19.5" thickBot="1">
      <c r="C57" s="271" t="s">
        <v>31</v>
      </c>
      <c r="D57" s="272">
        <f>SUM(D52:D54)</f>
        <v>200</v>
      </c>
    </row>
  </sheetData>
  <sheetProtection/>
  <mergeCells count="21">
    <mergeCell ref="B53:C53"/>
    <mergeCell ref="B54:C54"/>
    <mergeCell ref="A11:E11"/>
    <mergeCell ref="B13:C13"/>
    <mergeCell ref="B15:C15"/>
    <mergeCell ref="B21:C21"/>
    <mergeCell ref="B16:C16"/>
    <mergeCell ref="B18:C18"/>
    <mergeCell ref="B19:C19"/>
    <mergeCell ref="B20:C20"/>
    <mergeCell ref="A26:E26"/>
    <mergeCell ref="A43:F43"/>
    <mergeCell ref="A44:F44"/>
    <mergeCell ref="A47:E47"/>
    <mergeCell ref="B51:C51"/>
    <mergeCell ref="B52:C52"/>
    <mergeCell ref="A4:K4"/>
    <mergeCell ref="B1:E1"/>
    <mergeCell ref="B2:E2"/>
    <mergeCell ref="B3:E3"/>
    <mergeCell ref="B14:C14"/>
  </mergeCells>
  <dataValidations count="1">
    <dataValidation type="list" allowBlank="1" showInputMessage="1" showErrorMessage="1" sqref="D8">
      <formula1>$AI$8:$AI$8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T27"/>
  <sheetViews>
    <sheetView tabSelected="1" zoomScalePageLayoutView="0" workbookViewId="0" topLeftCell="A1">
      <selection activeCell="D30" sqref="D30"/>
    </sheetView>
  </sheetViews>
  <sheetFormatPr defaultColWidth="11.19921875" defaultRowHeight="14.25"/>
  <cols>
    <col min="2" max="2" width="19" style="0" customWidth="1"/>
    <col min="3" max="3" width="29.3984375" style="0" customWidth="1"/>
    <col min="4" max="4" width="25.796875" style="0" bestFit="1" customWidth="1"/>
  </cols>
  <sheetData>
    <row r="1" spans="3:46" s="1" customFormat="1" ht="14.25">
      <c r="C1" s="325" t="s">
        <v>4</v>
      </c>
      <c r="D1" s="326"/>
      <c r="E1" s="326"/>
      <c r="F1" s="326"/>
      <c r="G1" s="236"/>
      <c r="H1" s="237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 t="s">
        <v>6</v>
      </c>
      <c r="AS1" s="10"/>
      <c r="AT1" s="11"/>
    </row>
    <row r="2" spans="3:46" s="1" customFormat="1" ht="14.25">
      <c r="C2" s="328" t="s">
        <v>5</v>
      </c>
      <c r="D2" s="329"/>
      <c r="E2" s="329"/>
      <c r="F2" s="329"/>
      <c r="G2" s="238"/>
      <c r="H2" s="239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 t="s">
        <v>1</v>
      </c>
      <c r="AS2" s="10"/>
      <c r="AT2" s="11"/>
    </row>
    <row r="3" spans="3:46" s="1" customFormat="1" ht="15" thickBot="1">
      <c r="C3" s="328" t="s">
        <v>71</v>
      </c>
      <c r="D3" s="329"/>
      <c r="E3" s="423"/>
      <c r="F3" s="423"/>
      <c r="G3" s="240"/>
      <c r="H3" s="241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</row>
    <row r="4" spans="2:44" s="1" customFormat="1" ht="29.25" customHeight="1">
      <c r="B4" s="456" t="s">
        <v>7</v>
      </c>
      <c r="C4" s="457"/>
      <c r="D4" s="458"/>
      <c r="E4" s="276"/>
      <c r="F4" s="276"/>
      <c r="G4" s="276"/>
      <c r="H4" s="276"/>
      <c r="I4" s="276"/>
      <c r="J4" s="276"/>
      <c r="K4" s="276"/>
      <c r="L4" s="277"/>
      <c r="M4" s="15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15"/>
      <c r="AN4" s="15"/>
      <c r="AO4" s="15"/>
      <c r="AP4" s="15"/>
      <c r="AQ4" s="15"/>
      <c r="AR4" s="15"/>
    </row>
    <row r="5" spans="2:44" s="1" customFormat="1" ht="14.25">
      <c r="B5" s="459"/>
      <c r="C5" s="460"/>
      <c r="D5" s="461"/>
      <c r="E5" s="276"/>
      <c r="F5" s="276"/>
      <c r="G5" s="276"/>
      <c r="H5" s="276"/>
      <c r="I5" s="276"/>
      <c r="J5" s="276"/>
      <c r="K5" s="276"/>
      <c r="L5" s="27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  <c r="AM5" s="15"/>
      <c r="AN5" s="15"/>
      <c r="AO5" s="15"/>
      <c r="AP5" s="15"/>
      <c r="AQ5" s="15"/>
      <c r="AR5" s="15"/>
    </row>
    <row r="6" spans="2:44" s="1" customFormat="1" ht="14.25">
      <c r="B6" s="459"/>
      <c r="C6" s="460"/>
      <c r="D6" s="461"/>
      <c r="E6" s="276"/>
      <c r="F6" s="276"/>
      <c r="G6" s="276"/>
      <c r="H6" s="276"/>
      <c r="I6" s="276"/>
      <c r="J6" s="276"/>
      <c r="K6" s="276"/>
      <c r="L6" s="27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  <c r="AM6" s="15"/>
      <c r="AN6" s="15"/>
      <c r="AO6" s="15"/>
      <c r="AP6" s="15"/>
      <c r="AQ6" s="15"/>
      <c r="AR6" s="15"/>
    </row>
    <row r="7" spans="2:4" ht="15" thickBot="1">
      <c r="B7" s="462"/>
      <c r="C7" s="463"/>
      <c r="D7" s="464"/>
    </row>
    <row r="9" ht="15" thickBot="1"/>
    <row r="10" spans="3:4" s="170" customFormat="1" ht="29.25" thickBot="1">
      <c r="C10" s="284" t="s">
        <v>106</v>
      </c>
      <c r="D10" s="323" t="s">
        <v>113</v>
      </c>
    </row>
    <row r="11" spans="3:4" ht="15" thickBot="1">
      <c r="C11" s="324" t="s">
        <v>142</v>
      </c>
      <c r="D11" s="322" t="str">
        <f>+IF('Exp. como consultor'!N33="ELEGIBLE",IF('Exp. como constructor'!N41="ELEGIBLE","ELEGIBLE","NO ELEGIBLE"))</f>
        <v>ELEGIBLE</v>
      </c>
    </row>
    <row r="12" spans="3:4" ht="15" thickBot="1">
      <c r="C12" s="321" t="s">
        <v>143</v>
      </c>
      <c r="D12" s="322" t="str">
        <f>+D11</f>
        <v>ELEGIBLE</v>
      </c>
    </row>
    <row r="13" ht="15" thickBot="1">
      <c r="E13" s="199"/>
    </row>
    <row r="14" spans="2:5" ht="33.75" customHeight="1" thickBot="1">
      <c r="B14" s="275" t="s">
        <v>27</v>
      </c>
      <c r="C14" s="452" t="s">
        <v>114</v>
      </c>
      <c r="D14" s="453"/>
      <c r="E14" s="39"/>
    </row>
    <row r="15" spans="2:5" ht="14.25">
      <c r="B15" s="235" t="s">
        <v>59</v>
      </c>
      <c r="C15" s="454" t="str">
        <f>+'Profesionales Califcables '!D14</f>
        <v>CUMPLE</v>
      </c>
      <c r="D15" s="455"/>
      <c r="E15" s="224"/>
    </row>
    <row r="16" spans="2:5" ht="28.5">
      <c r="B16" s="131" t="s">
        <v>109</v>
      </c>
      <c r="C16" s="440" t="str">
        <f>+'Profesionales Califcables '!D15</f>
        <v>CUMPLE</v>
      </c>
      <c r="D16" s="465"/>
      <c r="E16" s="224"/>
    </row>
    <row r="17" spans="2:5" ht="29.25" thickBot="1">
      <c r="B17" s="133" t="s">
        <v>110</v>
      </c>
      <c r="C17" s="442" t="str">
        <f>+'Profesionales Califcables '!D16</f>
        <v>CUMPLE</v>
      </c>
      <c r="D17" s="466"/>
      <c r="E17" s="224"/>
    </row>
    <row r="18" ht="15" thickBot="1">
      <c r="E18" s="199"/>
    </row>
    <row r="19" spans="2:5" ht="34.5" customHeight="1" thickBot="1">
      <c r="B19" s="275" t="s">
        <v>27</v>
      </c>
      <c r="C19" s="467" t="s">
        <v>115</v>
      </c>
      <c r="D19" s="468"/>
      <c r="E19" s="199"/>
    </row>
    <row r="20" spans="2:4" ht="14.25">
      <c r="B20" s="129" t="s">
        <v>59</v>
      </c>
      <c r="C20" s="434" t="str">
        <f>+'Profesionales Califcables '!D19</f>
        <v>CUMPLE</v>
      </c>
      <c r="D20" s="469"/>
    </row>
    <row r="21" spans="2:4" ht="28.5">
      <c r="B21" s="131" t="s">
        <v>109</v>
      </c>
      <c r="C21" s="454" t="str">
        <f>+'Profesionales Califcables '!D20</f>
        <v>CUMPLE</v>
      </c>
      <c r="D21" s="455"/>
    </row>
    <row r="22" spans="2:4" ht="29.25" thickBot="1">
      <c r="B22" s="133" t="s">
        <v>110</v>
      </c>
      <c r="C22" s="450" t="str">
        <f>+'Profesionales Califcables '!D21</f>
        <v>CUMPLE</v>
      </c>
      <c r="D22" s="451"/>
    </row>
    <row r="24" ht="15" thickBot="1"/>
    <row r="25" spans="3:4" ht="14.25">
      <c r="C25" s="278" t="s">
        <v>111</v>
      </c>
      <c r="D25" s="279" t="s">
        <v>61</v>
      </c>
    </row>
    <row r="26" spans="3:4" ht="15" thickBot="1">
      <c r="C26" s="280"/>
      <c r="D26" s="281"/>
    </row>
    <row r="27" spans="3:4" ht="54.75" thickBot="1">
      <c r="C27" s="282" t="s">
        <v>112</v>
      </c>
      <c r="D27" s="283">
        <f>+'Profesionales Califcables '!D40+'Profesionales Califcables '!D57</f>
        <v>400</v>
      </c>
    </row>
  </sheetData>
  <sheetProtection/>
  <mergeCells count="12">
    <mergeCell ref="C22:D22"/>
    <mergeCell ref="C1:F1"/>
    <mergeCell ref="C2:F2"/>
    <mergeCell ref="C3:F3"/>
    <mergeCell ref="C14:D14"/>
    <mergeCell ref="C15:D15"/>
    <mergeCell ref="B4:D7"/>
    <mergeCell ref="C16:D16"/>
    <mergeCell ref="C17:D17"/>
    <mergeCell ref="C19:D19"/>
    <mergeCell ref="C20:D20"/>
    <mergeCell ref="C21:D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BONUS Banca de Inversión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Universidad Distrital</cp:lastModifiedBy>
  <cp:lastPrinted>2010-01-25T06:55:30Z</cp:lastPrinted>
  <dcterms:created xsi:type="dcterms:W3CDTF">2010-01-23T18:01:11Z</dcterms:created>
  <dcterms:modified xsi:type="dcterms:W3CDTF">2011-07-13T23:24:32Z</dcterms:modified>
  <cp:category/>
  <cp:version/>
  <cp:contentType/>
  <cp:contentStatus/>
</cp:coreProperties>
</file>