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780" windowWidth="15480" windowHeight="4290" tabRatio="945" activeTab="0"/>
  </bookViews>
  <sheets>
    <sheet name="Indicadores Media 2010" sheetId="1" r:id="rId1"/>
    <sheet name="ANALYTICA" sheetId="2" r:id="rId2"/>
    <sheet name="ARISMA" sheetId="3" r:id="rId3"/>
    <sheet name="MICROSCOPIOS Y EQUIPOS ESP" sheetId="4" r:id="rId4"/>
    <sheet name="ALDIR" sheetId="5" r:id="rId5"/>
    <sheet name="QUIMIREL" sheetId="6" r:id="rId6"/>
    <sheet name="HIGH TEC" sheetId="7" r:id="rId7"/>
    <sheet name="BIO SOLUTIONS" sheetId="8" r:id="rId8"/>
    <sheet name="TERSELL" sheetId="9" r:id="rId9"/>
    <sheet name="INSTRUMENTACION SA" sheetId="10" r:id="rId10"/>
    <sheet name="KAIKA" sheetId="11" r:id="rId11"/>
    <sheet name="NUEVOS RECURSOS" sheetId="12" r:id="rId12"/>
    <sheet name="ICL DIDACTICA" sheetId="13" r:id="rId13"/>
    <sheet name="PLINTEC" sheetId="14" r:id="rId14"/>
    <sheet name="KASAI" sheetId="15" r:id="rId15"/>
    <sheet name="INNOVATEK" sheetId="16" r:id="rId16"/>
    <sheet name="UNION TMEPORAL RSCO USER VNA UT" sheetId="17" r:id="rId17"/>
    <sheet name="JUVENIA" sheetId="18" r:id="rId18"/>
    <sheet name="SSITEMAS E INSTRUMENTACION" sheetId="19" r:id="rId19"/>
    <sheet name="BIOMOL" sheetId="20" r:id="rId20"/>
    <sheet name="CASA CIENTIFICA" sheetId="21" r:id="rId21"/>
    <sheet name="ADVANCED INSTRUMENTACION" sheetId="22" r:id="rId22"/>
    <sheet name="IMPOINTER" sheetId="23" r:id="rId23"/>
    <sheet name="SUCONEL" sheetId="24" r:id="rId24"/>
    <sheet name="IMOCOM" sheetId="25" r:id="rId25"/>
    <sheet name="DISSMAN ING." sheetId="26" r:id="rId26"/>
    <sheet name="MAVE" sheetId="27" r:id="rId27"/>
    <sheet name="AM LTDA." sheetId="28" r:id="rId28"/>
    <sheet name="MERCK" sheetId="29" r:id="rId29"/>
    <sheet name="METRICOM" sheetId="30" r:id="rId30"/>
    <sheet name="GAMATECNICA" sheetId="31" r:id="rId31"/>
    <sheet name="GEOSYSTEM ING" sheetId="32" r:id="rId32"/>
    <sheet name="TOPOEQUIPOS" sheetId="33" r:id="rId33"/>
    <sheet name="ELECTROEQUIPOS DE COLLOMBIA" sheetId="34" r:id="rId34"/>
    <sheet name="Hoja1" sheetId="35" r:id="rId35"/>
  </sheets>
  <definedNames/>
  <calcPr fullCalcOnLoad="1"/>
</workbook>
</file>

<file path=xl/sharedStrings.xml><?xml version="1.0" encoding="utf-8"?>
<sst xmlns="http://schemas.openxmlformats.org/spreadsheetml/2006/main" count="1838" uniqueCount="110">
  <si>
    <t>CUMPLIMIENTO</t>
  </si>
  <si>
    <t>NO</t>
  </si>
  <si>
    <t>SI</t>
  </si>
  <si>
    <t>PRIMERA EVALUACIÓN DE ADMISIBILIDAD</t>
  </si>
  <si>
    <t>VICERRECTORÍA ADMINISTRATIVA Y FINANCIERA</t>
  </si>
  <si>
    <t>ÍTEM</t>
  </si>
  <si>
    <t>OBSERVACIONES</t>
  </si>
  <si>
    <t>UNIVERSIDAD DISTRITAL FRANCISCO JOSÉ DE CALDAS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</si>
  <si>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</si>
  <si>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</si>
  <si>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</si>
  <si>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</si>
  <si>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</si>
  <si>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</si>
  <si>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</si>
  <si>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</si>
  <si>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</si>
  <si>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</si>
  <si>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</si>
  <si>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</si>
  <si>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</si>
  <si>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</si>
  <si>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</si>
  <si>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Patrimonio</t>
  </si>
  <si>
    <t>ALVARO MAHECHA RANGEL</t>
  </si>
  <si>
    <t>Jefe División de Recursos Financieros</t>
  </si>
  <si>
    <t>_______________________________________</t>
  </si>
  <si>
    <t>CONVOCATORIA PUBLICA No 005 DE 2011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</si>
  <si>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</si>
  <si>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</si>
  <si>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</si>
  <si>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</si>
  <si>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</si>
  <si>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</si>
  <si>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</si>
  <si>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</si>
  <si>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</si>
  <si>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>QUIMIREL</t>
  </si>
  <si>
    <t>SISTEMAS E INSTRUMENTACION S.A.</t>
  </si>
  <si>
    <t>GEOSISTEM ING SAS</t>
  </si>
  <si>
    <t>NUEVOS RECURSOS NR LTDA</t>
  </si>
  <si>
    <t>BIO SOLUTIONS LTDA</t>
  </si>
  <si>
    <t>CASA CIENTIFICA BLANCO Y CIA LTDA</t>
  </si>
  <si>
    <t>JUVENIA S.A.</t>
  </si>
  <si>
    <t>ICL DIDACTICA LTDA</t>
  </si>
  <si>
    <t>HIGN TEC ENVIROMENTAL LTDA</t>
  </si>
  <si>
    <t>KASAY LTDA</t>
  </si>
  <si>
    <t>IMOCOM S.A.</t>
  </si>
  <si>
    <t>ANALYTICA LTDA</t>
  </si>
  <si>
    <t>MAVE INSTRUMENTACION Y QUIMICOS LTDA</t>
  </si>
  <si>
    <t>METRICOM</t>
  </si>
  <si>
    <t>ADVANCED INSTRUMENTS LTDA</t>
  </si>
  <si>
    <t>ELECTROEQUIPOS COLOMBIA SAS</t>
  </si>
  <si>
    <t>ARISMA S.A.</t>
  </si>
  <si>
    <t>PLINTEC LTDA</t>
  </si>
  <si>
    <t>INNOVATEK</t>
  </si>
  <si>
    <t>DISSMAN INGENIERIA LTDA</t>
  </si>
  <si>
    <t>AM ASESORIA Y MANTENIMIENTO LTDA</t>
  </si>
  <si>
    <t>BIOMOL LTDA</t>
  </si>
  <si>
    <t>KAIKA SAS</t>
  </si>
  <si>
    <t>MERCK S.A.</t>
  </si>
  <si>
    <t>GAMATECNICA INGENIERIA LTDA</t>
  </si>
  <si>
    <t>DISTRIQUIMICOS ALDIR SAS</t>
  </si>
  <si>
    <t>INSTRUMENTACION S.A.</t>
  </si>
  <si>
    <t>Endeudamiento  &lt;= A 65 %</t>
  </si>
  <si>
    <t>Razón Corriente &gt;= A 1,3 Veces</t>
  </si>
  <si>
    <t>Endeudamiento &lt;= al 65 %</t>
  </si>
  <si>
    <t>Capital de Trabajo: &gt;= 65% del presupuesto oficial</t>
  </si>
  <si>
    <t>Patrimonio : &gt;= 5% del presupuesto oficial</t>
  </si>
  <si>
    <t>CONVOCATORIA PUBLICA No 009 DE 2011</t>
  </si>
  <si>
    <t>ROHDE &amp; SCHWARZ COLOMBIA S.A.</t>
  </si>
  <si>
    <t xml:space="preserve">PORCENTAJE PARTICIPACION </t>
  </si>
  <si>
    <t xml:space="preserve">UNION TEMPORAL RSCO-USER VNA UT 
</t>
  </si>
  <si>
    <t>x</t>
  </si>
  <si>
    <t>X</t>
  </si>
  <si>
    <t>Patrimonio : &gt;= 75% del Valor total de la Oferta</t>
  </si>
  <si>
    <t>VALOR DE LA OFERTA</t>
  </si>
  <si>
    <t>VALOR TOTAL DE LA OFERTA</t>
  </si>
  <si>
    <t>Valor oferta</t>
  </si>
  <si>
    <t>Valor de la oferta</t>
  </si>
  <si>
    <t>VALOR DE LA PROPUESTA</t>
  </si>
  <si>
    <t>MICROSCOPIOS Y EQUIPOS ESPECIALES SAS</t>
  </si>
  <si>
    <t xml:space="preserve">VALOR DE LA OFERTA </t>
  </si>
  <si>
    <t xml:space="preserve">VALOR TOTAL OFERTA </t>
  </si>
  <si>
    <t>TERSELL TERMOFORMADOS Y SELLADOS LTDA</t>
  </si>
  <si>
    <t xml:space="preserve">ROHDE &amp; SCHWARZ COLOMBIA S.A. - 92% </t>
  </si>
  <si>
    <t>USERTECNO SAS - 8%</t>
  </si>
  <si>
    <t>IMPOINTER S.A.</t>
  </si>
  <si>
    <t>SUCONEL S.A.</t>
  </si>
  <si>
    <t>TOPOEQUIPOS S.A.</t>
  </si>
  <si>
    <t>JUVENIA S.A. NO PRESENTO BALANCE PARA EVALUACION</t>
  </si>
  <si>
    <t>ADMISIBLE</t>
  </si>
  <si>
    <t>AGOSTO 17 DE 2011</t>
  </si>
  <si>
    <t>Valor Oferta</t>
  </si>
  <si>
    <t>Porcentaje</t>
  </si>
  <si>
    <t>Valor dela Oferta</t>
  </si>
  <si>
    <t>Valor de la Oferta</t>
  </si>
  <si>
    <t>Capital de Trabajo: &gt;= 65% del Valor de la Oferta</t>
  </si>
  <si>
    <t>Patrimonio : &gt;= A 75 del Valor de la Oferta</t>
  </si>
  <si>
    <t>Patrimonio : &gt;= A 75% del Valor de la Oferta</t>
  </si>
  <si>
    <t>Patrimonio : &gt;= A 75 % del Valor de la Oferta</t>
  </si>
  <si>
    <t>Capital de Trabajo: &gt;= 65% del valor de la oferta</t>
  </si>
  <si>
    <t>Patrimonio : &gt;= 75% del valor de la oferta</t>
  </si>
  <si>
    <t>Patrimonio : &gt;= 75% del valor de laoferta</t>
  </si>
  <si>
    <t>Patrimonio : &gt;= 5% del valor de la oferta</t>
  </si>
  <si>
    <t>Capital de Trabajo: &gt;= 65% del valor de laoferta</t>
  </si>
  <si>
    <t>Valor de la propuesta</t>
  </si>
  <si>
    <t>RESUMEN</t>
  </si>
  <si>
    <t>INADMISIBLE</t>
  </si>
  <si>
    <t>AGOSTO 16 DE 2011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</si>
</sst>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&quot;$&quot;\ #,##0.00;[Red]&quot;$&quot;\ #,##0.00"/>
    <numFmt numFmtId="175" formatCode="#,##0.00;[Red]#,##0.00"/>
    <numFmt numFmtId="176" formatCode="0.00;[Red]0.00"/>
    <numFmt numFmtId="177" formatCode="[$$-240A]\ #,##0.00;[Red][$$-240A]\ #,##0.00"/>
    <numFmt numFmtId="178" formatCode="#,##0;[Red]#,##0"/>
    <numFmt numFmtId="179" formatCode="#,##0.0;[Red]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174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174" fontId="4" fillId="33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72" fontId="4" fillId="0" borderId="0" xfId="48" applyFont="1" applyAlignment="1">
      <alignment/>
    </xf>
    <xf numFmtId="0" fontId="2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9" xfId="51" applyFont="1" applyFill="1" applyBorder="1">
      <alignment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173" fontId="3" fillId="0" borderId="0" xfId="46" applyNumberFormat="1" applyFont="1" applyAlignment="1">
      <alignment horizontal="right"/>
    </xf>
    <xf numFmtId="173" fontId="3" fillId="0" borderId="0" xfId="46" applyFont="1" applyAlignment="1">
      <alignment/>
    </xf>
    <xf numFmtId="9" fontId="4" fillId="33" borderId="18" xfId="0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7" fillId="0" borderId="0" xfId="0" applyFont="1" applyFill="1" applyAlignment="1">
      <alignment/>
    </xf>
    <xf numFmtId="178" fontId="10" fillId="0" borderId="19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" fontId="7" fillId="0" borderId="19" xfId="0" applyNumberFormat="1" applyFont="1" applyBorder="1" applyAlignment="1">
      <alignment/>
    </xf>
    <xf numFmtId="4" fontId="7" fillId="0" borderId="19" xfId="46" applyNumberFormat="1" applyFont="1" applyBorder="1" applyAlignment="1">
      <alignment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19" xfId="0" applyFont="1" applyFill="1" applyBorder="1" applyAlignment="1">
      <alignment horizontal="right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/>
    </xf>
    <xf numFmtId="4" fontId="7" fillId="35" borderId="19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Alignment="1">
      <alignment/>
    </xf>
    <xf numFmtId="0" fontId="4" fillId="0" borderId="0" xfId="0" applyFont="1" applyFill="1" applyAlignment="1">
      <alignment/>
    </xf>
    <xf numFmtId="174" fontId="4" fillId="3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174" fontId="4" fillId="33" borderId="25" xfId="0" applyNumberFormat="1" applyFont="1" applyFill="1" applyBorder="1" applyAlignment="1">
      <alignment horizontal="center" vertical="center"/>
    </xf>
    <xf numFmtId="174" fontId="4" fillId="33" borderId="13" xfId="0" applyNumberFormat="1" applyFont="1" applyFill="1" applyBorder="1" applyAlignment="1">
      <alignment horizontal="left" vertical="center"/>
    </xf>
    <xf numFmtId="174" fontId="4" fillId="33" borderId="14" xfId="0" applyNumberFormat="1" applyFont="1" applyFill="1" applyBorder="1" applyAlignment="1">
      <alignment horizontal="left" vertical="center"/>
    </xf>
    <xf numFmtId="174" fontId="4" fillId="33" borderId="19" xfId="0" applyNumberFormat="1" applyFont="1" applyFill="1" applyBorder="1" applyAlignment="1">
      <alignment horizontal="left" vertical="center"/>
    </xf>
    <xf numFmtId="174" fontId="4" fillId="33" borderId="11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6" borderId="1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74" fontId="4" fillId="33" borderId="27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0" borderId="28" xfId="0" applyFont="1" applyBorder="1" applyAlignment="1">
      <alignment/>
    </xf>
    <xf numFmtId="174" fontId="4" fillId="33" borderId="1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174" fontId="4" fillId="33" borderId="3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9" xfId="0" applyFont="1" applyFill="1" applyBorder="1" applyAlignment="1">
      <alignment/>
    </xf>
    <xf numFmtId="176" fontId="7" fillId="0" borderId="19" xfId="0" applyNumberFormat="1" applyFont="1" applyFill="1" applyBorder="1" applyAlignment="1">
      <alignment horizontal="center"/>
    </xf>
    <xf numFmtId="175" fontId="7" fillId="0" borderId="19" xfId="0" applyNumberFormat="1" applyFont="1" applyFill="1" applyBorder="1" applyAlignment="1" applyProtection="1">
      <alignment horizontal="right" vertical="center"/>
      <protection locked="0"/>
    </xf>
    <xf numFmtId="10" fontId="7" fillId="0" borderId="19" xfId="0" applyNumberFormat="1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9" fontId="10" fillId="0" borderId="31" xfId="0" applyNumberFormat="1" applyFont="1" applyBorder="1" applyAlignment="1">
      <alignment horizontal="center" vertical="center"/>
    </xf>
    <xf numFmtId="179" fontId="10" fillId="0" borderId="32" xfId="0" applyNumberFormat="1" applyFont="1" applyBorder="1" applyAlignment="1">
      <alignment horizontal="center" vertical="center"/>
    </xf>
    <xf numFmtId="179" fontId="10" fillId="0" borderId="33" xfId="0" applyNumberFormat="1" applyFont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34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174" fontId="4" fillId="33" borderId="34" xfId="0" applyNumberFormat="1" applyFont="1" applyFill="1" applyBorder="1" applyAlignment="1">
      <alignment horizontal="center" vertical="center"/>
    </xf>
    <xf numFmtId="174" fontId="4" fillId="33" borderId="35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0" fontId="4" fillId="33" borderId="34" xfId="0" applyNumberFormat="1" applyFont="1" applyFill="1" applyBorder="1" applyAlignment="1">
      <alignment horizontal="center" vertical="center"/>
    </xf>
    <xf numFmtId="10" fontId="4" fillId="33" borderId="35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4" fillId="36" borderId="34" xfId="0" applyNumberFormat="1" applyFont="1" applyFill="1" applyBorder="1" applyAlignment="1">
      <alignment horizontal="center" vertical="center"/>
    </xf>
    <xf numFmtId="4" fontId="4" fillId="36" borderId="35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4" fillId="33" borderId="38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4" fillId="36" borderId="34" xfId="0" applyNumberFormat="1" applyFont="1" applyFill="1" applyBorder="1" applyAlignment="1">
      <alignment horizontal="center" vertical="center"/>
    </xf>
    <xf numFmtId="174" fontId="4" fillId="36" borderId="35" xfId="0" applyNumberFormat="1" applyFont="1" applyFill="1" applyBorder="1" applyAlignment="1">
      <alignment horizontal="center" vertical="center"/>
    </xf>
    <xf numFmtId="174" fontId="4" fillId="36" borderId="13" xfId="0" applyNumberFormat="1" applyFont="1" applyFill="1" applyBorder="1" applyAlignment="1">
      <alignment horizontal="center" vertical="center"/>
    </xf>
    <xf numFmtId="174" fontId="4" fillId="36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174" fontId="4" fillId="33" borderId="4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87" zoomScaleNormal="87" zoomScalePageLayoutView="0" workbookViewId="0" topLeftCell="A7">
      <selection activeCell="C60" sqref="C60"/>
    </sheetView>
  </sheetViews>
  <sheetFormatPr defaultColWidth="11.421875" defaultRowHeight="12.75"/>
  <cols>
    <col min="1" max="1" width="4.57421875" style="50" customWidth="1"/>
    <col min="2" max="2" width="13.7109375" style="45" customWidth="1"/>
    <col min="3" max="3" width="49.57421875" style="45" bestFit="1" customWidth="1"/>
    <col min="4" max="5" width="16.8515625" style="51" hidden="1" customWidth="1"/>
    <col min="6" max="7" width="15.7109375" style="51" hidden="1" customWidth="1"/>
    <col min="8" max="8" width="1.1484375" style="50" hidden="1" customWidth="1"/>
    <col min="9" max="9" width="8.140625" style="50" bestFit="1" customWidth="1"/>
    <col min="10" max="10" width="20.57421875" style="50" bestFit="1" customWidth="1"/>
    <col min="11" max="11" width="14.8515625" style="50" bestFit="1" customWidth="1"/>
    <col min="12" max="12" width="16.8515625" style="50" bestFit="1" customWidth="1"/>
    <col min="13" max="13" width="12.8515625" style="45" bestFit="1" customWidth="1"/>
    <col min="14" max="14" width="14.140625" style="45" customWidth="1"/>
    <col min="15" max="16384" width="11.421875" style="45" customWidth="1"/>
  </cols>
  <sheetData>
    <row r="1" spans="1:10" ht="12.7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2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2.7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2.75">
      <c r="A6" s="87" t="s">
        <v>109</v>
      </c>
      <c r="B6" s="87"/>
      <c r="C6" s="87"/>
      <c r="D6" s="87"/>
      <c r="E6" s="87"/>
      <c r="F6" s="87"/>
      <c r="G6" s="87"/>
      <c r="H6" s="87"/>
      <c r="I6" s="87"/>
      <c r="J6" s="87"/>
    </row>
    <row r="8" spans="1:13" ht="12">
      <c r="A8" s="42"/>
      <c r="B8" s="25"/>
      <c r="C8" s="43" t="s">
        <v>28</v>
      </c>
      <c r="D8" s="88" t="s">
        <v>36</v>
      </c>
      <c r="E8" s="89"/>
      <c r="F8" s="89"/>
      <c r="G8" s="90"/>
      <c r="H8" s="44"/>
      <c r="I8" s="91" t="s">
        <v>29</v>
      </c>
      <c r="J8" s="91"/>
      <c r="K8" s="91"/>
      <c r="L8" s="91"/>
      <c r="M8" s="82" t="s">
        <v>107</v>
      </c>
    </row>
    <row r="9" spans="1:13" ht="12">
      <c r="A9" s="42"/>
      <c r="B9" s="25"/>
      <c r="C9" s="25"/>
      <c r="D9" s="46" t="s">
        <v>15</v>
      </c>
      <c r="E9" s="46" t="s">
        <v>21</v>
      </c>
      <c r="F9" s="46" t="s">
        <v>16</v>
      </c>
      <c r="G9" s="46" t="s">
        <v>18</v>
      </c>
      <c r="H9" s="44"/>
      <c r="I9" s="47" t="s">
        <v>30</v>
      </c>
      <c r="J9" s="47" t="s">
        <v>31</v>
      </c>
      <c r="K9" s="47" t="s">
        <v>32</v>
      </c>
      <c r="L9" s="47" t="s">
        <v>23</v>
      </c>
      <c r="M9" s="25"/>
    </row>
    <row r="10" spans="1:13" ht="12">
      <c r="A10" s="26">
        <v>1</v>
      </c>
      <c r="B10" s="24">
        <v>890935513</v>
      </c>
      <c r="C10" s="25" t="s">
        <v>48</v>
      </c>
      <c r="D10" s="41">
        <v>7009061376</v>
      </c>
      <c r="E10" s="41">
        <v>11526385005</v>
      </c>
      <c r="F10" s="41">
        <v>3273751605</v>
      </c>
      <c r="G10" s="41">
        <v>5517193065</v>
      </c>
      <c r="H10" s="25"/>
      <c r="I10" s="83">
        <f aca="true" t="shared" si="0" ref="I10:I43">+D10/F10</f>
        <v>2.1409875340862947</v>
      </c>
      <c r="J10" s="84">
        <f aca="true" t="shared" si="1" ref="J10:J43">+D10-F10</f>
        <v>3735309771</v>
      </c>
      <c r="K10" s="85">
        <f aca="true" t="shared" si="2" ref="K10:K43">+G10/E10</f>
        <v>0.4786577112083894</v>
      </c>
      <c r="L10" s="84">
        <f aca="true" t="shared" si="3" ref="L10:L43">+E10-G10</f>
        <v>6009191940</v>
      </c>
      <c r="M10" s="25" t="str">
        <f>+ANALYTICA!J41</f>
        <v>ADMISIBLE</v>
      </c>
    </row>
    <row r="11" spans="1:13" ht="12">
      <c r="A11" s="26">
        <v>2</v>
      </c>
      <c r="B11" s="24">
        <v>860049903</v>
      </c>
      <c r="C11" s="25" t="s">
        <v>53</v>
      </c>
      <c r="D11" s="41">
        <v>5903888016</v>
      </c>
      <c r="E11" s="41">
        <v>10161700263</v>
      </c>
      <c r="F11" s="41">
        <v>1650529635</v>
      </c>
      <c r="G11" s="41">
        <v>3478836151</v>
      </c>
      <c r="H11" s="25"/>
      <c r="I11" s="83">
        <f t="shared" si="0"/>
        <v>3.5769657755948137</v>
      </c>
      <c r="J11" s="84">
        <f t="shared" si="1"/>
        <v>4253358381</v>
      </c>
      <c r="K11" s="85">
        <f t="shared" si="2"/>
        <v>0.34234784149920955</v>
      </c>
      <c r="L11" s="84">
        <f t="shared" si="3"/>
        <v>6682864112</v>
      </c>
      <c r="M11" s="25" t="str">
        <f>+ARISMA!J41</f>
        <v>ADMISIBLE</v>
      </c>
    </row>
    <row r="12" spans="1:13" ht="12">
      <c r="A12" s="26">
        <v>3</v>
      </c>
      <c r="B12" s="24">
        <v>830023974</v>
      </c>
      <c r="C12" s="25" t="s">
        <v>81</v>
      </c>
      <c r="D12" s="41">
        <v>1117058259</v>
      </c>
      <c r="E12" s="41">
        <v>1319982026</v>
      </c>
      <c r="F12" s="41">
        <v>434914480</v>
      </c>
      <c r="G12" s="41">
        <v>546588185</v>
      </c>
      <c r="H12" s="25"/>
      <c r="I12" s="83">
        <f t="shared" si="0"/>
        <v>2.568454973032859</v>
      </c>
      <c r="J12" s="84">
        <f t="shared" si="1"/>
        <v>682143779</v>
      </c>
      <c r="K12" s="85">
        <f t="shared" si="2"/>
        <v>0.4140875968261101</v>
      </c>
      <c r="L12" s="84">
        <f t="shared" si="3"/>
        <v>773393841</v>
      </c>
      <c r="M12" s="25" t="str">
        <f>+'MICROSCOPIOS Y EQUIPOS ESP'!J41</f>
        <v>ADMISIBLE</v>
      </c>
    </row>
    <row r="13" spans="1:13" ht="12">
      <c r="A13" s="26">
        <v>4</v>
      </c>
      <c r="B13" s="24">
        <v>830010484</v>
      </c>
      <c r="C13" s="25" t="s">
        <v>62</v>
      </c>
      <c r="D13" s="49">
        <v>4266570684</v>
      </c>
      <c r="E13" s="49">
        <v>5367339566</v>
      </c>
      <c r="F13" s="49">
        <v>1817805091</v>
      </c>
      <c r="G13" s="49">
        <v>2840027314</v>
      </c>
      <c r="H13" s="42"/>
      <c r="I13" s="83">
        <f t="shared" si="0"/>
        <v>2.347100195243099</v>
      </c>
      <c r="J13" s="84">
        <f t="shared" si="1"/>
        <v>2448765593</v>
      </c>
      <c r="K13" s="85">
        <f t="shared" si="2"/>
        <v>0.5291312910385741</v>
      </c>
      <c r="L13" s="84">
        <f t="shared" si="3"/>
        <v>2527312252</v>
      </c>
      <c r="M13" s="25" t="str">
        <f>+ALDIR!J41</f>
        <v>ADMISIBLE</v>
      </c>
    </row>
    <row r="14" spans="1:13" ht="12">
      <c r="A14" s="26">
        <v>5</v>
      </c>
      <c r="B14" s="24">
        <v>860065280</v>
      </c>
      <c r="C14" s="25" t="s">
        <v>37</v>
      </c>
      <c r="D14" s="41">
        <v>3073760610</v>
      </c>
      <c r="E14" s="41">
        <v>4776288513</v>
      </c>
      <c r="F14" s="41">
        <v>2103888446</v>
      </c>
      <c r="G14" s="41">
        <v>2237221798</v>
      </c>
      <c r="H14" s="25"/>
      <c r="I14" s="83">
        <f t="shared" si="0"/>
        <v>1.460990299102579</v>
      </c>
      <c r="J14" s="84">
        <f t="shared" si="1"/>
        <v>969872164</v>
      </c>
      <c r="K14" s="85">
        <f t="shared" si="2"/>
        <v>0.4684017290644771</v>
      </c>
      <c r="L14" s="84">
        <f t="shared" si="3"/>
        <v>2539066715</v>
      </c>
      <c r="M14" s="25" t="str">
        <f>+QUIMIREL!J41</f>
        <v>ADMISIBLE</v>
      </c>
    </row>
    <row r="15" spans="1:13" ht="12">
      <c r="A15" s="26">
        <v>6</v>
      </c>
      <c r="B15" s="24">
        <v>900013343</v>
      </c>
      <c r="C15" s="25" t="s">
        <v>45</v>
      </c>
      <c r="D15" s="41">
        <v>795570507.82</v>
      </c>
      <c r="E15" s="41">
        <v>900035311.74</v>
      </c>
      <c r="F15" s="41">
        <v>430076910.18</v>
      </c>
      <c r="G15" s="41">
        <v>576237097.18</v>
      </c>
      <c r="H15" s="25"/>
      <c r="I15" s="83">
        <f t="shared" si="0"/>
        <v>1.8498331088898263</v>
      </c>
      <c r="J15" s="84">
        <f t="shared" si="1"/>
        <v>365493597.64000005</v>
      </c>
      <c r="K15" s="85">
        <f t="shared" si="2"/>
        <v>0.640238321389841</v>
      </c>
      <c r="L15" s="84">
        <f t="shared" si="3"/>
        <v>323798214.56000006</v>
      </c>
      <c r="M15" s="25" t="str">
        <f>+'HIGH TEC'!J41</f>
        <v>ADMISIBLE</v>
      </c>
    </row>
    <row r="16" spans="1:13" ht="12">
      <c r="A16" s="26">
        <v>7</v>
      </c>
      <c r="B16" s="24">
        <v>900025724</v>
      </c>
      <c r="C16" s="25" t="s">
        <v>41</v>
      </c>
      <c r="D16" s="41">
        <v>416872411</v>
      </c>
      <c r="E16" s="41">
        <v>612689147</v>
      </c>
      <c r="F16" s="41">
        <v>122614286</v>
      </c>
      <c r="G16" s="41">
        <v>344751913</v>
      </c>
      <c r="H16" s="25"/>
      <c r="I16" s="83">
        <f t="shared" si="0"/>
        <v>3.3998681931728574</v>
      </c>
      <c r="J16" s="84">
        <f t="shared" si="1"/>
        <v>294258125</v>
      </c>
      <c r="K16" s="85">
        <f t="shared" si="2"/>
        <v>0.5626865020998977</v>
      </c>
      <c r="L16" s="84">
        <f t="shared" si="3"/>
        <v>267937234</v>
      </c>
      <c r="M16" s="25" t="str">
        <f>+'BIO SOLUTIONS'!J41</f>
        <v>INADMISIBLE</v>
      </c>
    </row>
    <row r="17" spans="1:13" ht="12">
      <c r="A17" s="26">
        <v>8</v>
      </c>
      <c r="B17" s="24">
        <v>830073833</v>
      </c>
      <c r="C17" s="25" t="s">
        <v>84</v>
      </c>
      <c r="D17" s="41">
        <v>20451301</v>
      </c>
      <c r="E17" s="41">
        <v>110559301</v>
      </c>
      <c r="F17" s="41">
        <v>13471656</v>
      </c>
      <c r="G17" s="41">
        <v>13471656</v>
      </c>
      <c r="H17" s="25"/>
      <c r="I17" s="83">
        <f t="shared" si="0"/>
        <v>1.5180985173611916</v>
      </c>
      <c r="J17" s="84">
        <f t="shared" si="1"/>
        <v>6979645</v>
      </c>
      <c r="K17" s="85">
        <f t="shared" si="2"/>
        <v>0.12185004679072636</v>
      </c>
      <c r="L17" s="84">
        <f t="shared" si="3"/>
        <v>97087645</v>
      </c>
      <c r="M17" s="25" t="str">
        <f>+TERSELL!J41</f>
        <v>INADMISIBLE</v>
      </c>
    </row>
    <row r="18" spans="1:13" ht="12">
      <c r="A18" s="26">
        <v>9</v>
      </c>
      <c r="B18" s="24">
        <v>860001130</v>
      </c>
      <c r="C18" s="25" t="s">
        <v>63</v>
      </c>
      <c r="D18" s="48">
        <v>7835115346</v>
      </c>
      <c r="E18" s="48">
        <v>11418302507</v>
      </c>
      <c r="F18" s="48">
        <v>7189745653</v>
      </c>
      <c r="G18" s="48">
        <v>8414292345</v>
      </c>
      <c r="H18" s="42"/>
      <c r="I18" s="83">
        <f t="shared" si="0"/>
        <v>1.089762520699284</v>
      </c>
      <c r="J18" s="84">
        <f t="shared" si="1"/>
        <v>645369693</v>
      </c>
      <c r="K18" s="85">
        <f t="shared" si="2"/>
        <v>0.7369127188425435</v>
      </c>
      <c r="L18" s="84">
        <f t="shared" si="3"/>
        <v>3004010162</v>
      </c>
      <c r="M18" s="25" t="str">
        <f>+'INSTRUMENTACION SA'!J41</f>
        <v>INADMISIBLE</v>
      </c>
    </row>
    <row r="19" spans="1:13" ht="12">
      <c r="A19" s="26">
        <v>10</v>
      </c>
      <c r="B19" s="24">
        <v>860001911</v>
      </c>
      <c r="C19" s="25" t="s">
        <v>59</v>
      </c>
      <c r="D19" s="41">
        <v>8167981000</v>
      </c>
      <c r="E19" s="41">
        <v>9181512000</v>
      </c>
      <c r="F19" s="41">
        <v>4639018000</v>
      </c>
      <c r="G19" s="41">
        <v>4639018000</v>
      </c>
      <c r="H19" s="25"/>
      <c r="I19" s="83">
        <f t="shared" si="0"/>
        <v>1.76071336649265</v>
      </c>
      <c r="J19" s="84">
        <f t="shared" si="1"/>
        <v>3528963000</v>
      </c>
      <c r="K19" s="85">
        <f t="shared" si="2"/>
        <v>0.5052564327095581</v>
      </c>
      <c r="L19" s="84">
        <f t="shared" si="3"/>
        <v>4542494000</v>
      </c>
      <c r="M19" s="25" t="str">
        <f>+KAIKA!J41</f>
        <v>ADMISIBLE</v>
      </c>
    </row>
    <row r="20" spans="1:13" ht="12">
      <c r="A20" s="26">
        <v>11</v>
      </c>
      <c r="B20" s="24">
        <v>830014721</v>
      </c>
      <c r="C20" s="25" t="s">
        <v>40</v>
      </c>
      <c r="D20" s="41">
        <v>2560874779</v>
      </c>
      <c r="E20" s="41">
        <v>3907479165</v>
      </c>
      <c r="F20" s="41">
        <v>1244533850</v>
      </c>
      <c r="G20" s="41">
        <v>1901635537</v>
      </c>
      <c r="H20" s="25"/>
      <c r="I20" s="83">
        <f t="shared" si="0"/>
        <v>2.0576979718149087</v>
      </c>
      <c r="J20" s="84">
        <f t="shared" si="1"/>
        <v>1316340929</v>
      </c>
      <c r="K20" s="85">
        <f t="shared" si="2"/>
        <v>0.4866655602500186</v>
      </c>
      <c r="L20" s="84">
        <f t="shared" si="3"/>
        <v>2005843628</v>
      </c>
      <c r="M20" s="25" t="str">
        <f>+'NUEVOS RECURSOS'!J41</f>
        <v>ADMISIBLE</v>
      </c>
    </row>
    <row r="21" spans="1:13" ht="12">
      <c r="A21" s="26">
        <v>12</v>
      </c>
      <c r="B21" s="24">
        <v>830007414</v>
      </c>
      <c r="C21" s="25" t="s">
        <v>44</v>
      </c>
      <c r="D21" s="41">
        <v>1478736509.64</v>
      </c>
      <c r="E21" s="41">
        <v>1549725943.52</v>
      </c>
      <c r="F21" s="41">
        <v>581135232.92</v>
      </c>
      <c r="G21" s="41">
        <v>581135232.92</v>
      </c>
      <c r="H21" s="25"/>
      <c r="I21" s="83">
        <f t="shared" si="0"/>
        <v>2.544565233482523</v>
      </c>
      <c r="J21" s="84">
        <f t="shared" si="1"/>
        <v>897601276.7200001</v>
      </c>
      <c r="K21" s="85">
        <f t="shared" si="2"/>
        <v>0.3749922593410466</v>
      </c>
      <c r="L21" s="84">
        <f t="shared" si="3"/>
        <v>968590710.6</v>
      </c>
      <c r="M21" s="25" t="str">
        <f>+'ICL DIDACTICA'!J41</f>
        <v>ADMISIBLE</v>
      </c>
    </row>
    <row r="22" spans="1:13" ht="12">
      <c r="A22" s="26">
        <v>13</v>
      </c>
      <c r="B22" s="24">
        <v>830006419</v>
      </c>
      <c r="C22" s="25" t="s">
        <v>54</v>
      </c>
      <c r="D22" s="41">
        <v>343250557</v>
      </c>
      <c r="E22" s="41">
        <v>995511803</v>
      </c>
      <c r="F22" s="41">
        <v>129543014</v>
      </c>
      <c r="G22" s="41">
        <v>445791071</v>
      </c>
      <c r="H22" s="25"/>
      <c r="I22" s="83">
        <f t="shared" si="0"/>
        <v>2.649703341007644</v>
      </c>
      <c r="J22" s="84">
        <f t="shared" si="1"/>
        <v>213707543</v>
      </c>
      <c r="K22" s="85">
        <f t="shared" si="2"/>
        <v>0.447800889609342</v>
      </c>
      <c r="L22" s="84">
        <f t="shared" si="3"/>
        <v>549720732</v>
      </c>
      <c r="M22" s="25" t="str">
        <f>+PLINTEC!J41</f>
        <v>ADMISIBLE</v>
      </c>
    </row>
    <row r="23" spans="1:13" ht="12">
      <c r="A23" s="26">
        <v>14</v>
      </c>
      <c r="B23" s="24">
        <v>800078000</v>
      </c>
      <c r="C23" s="25" t="s">
        <v>46</v>
      </c>
      <c r="D23" s="41">
        <v>729648124.34</v>
      </c>
      <c r="E23" s="41">
        <v>871487724.34</v>
      </c>
      <c r="F23" s="41">
        <v>511318835.91</v>
      </c>
      <c r="G23" s="41">
        <v>536318835.91</v>
      </c>
      <c r="H23" s="25"/>
      <c r="I23" s="83">
        <f t="shared" si="0"/>
        <v>1.426992461643696</v>
      </c>
      <c r="J23" s="84">
        <f t="shared" si="1"/>
        <v>218329288.43</v>
      </c>
      <c r="K23" s="85">
        <f t="shared" si="2"/>
        <v>0.6154060704827117</v>
      </c>
      <c r="L23" s="84">
        <f t="shared" si="3"/>
        <v>335168888.43</v>
      </c>
      <c r="M23" s="25" t="str">
        <f>+KASAI!J41</f>
        <v>ADMISIBLE</v>
      </c>
    </row>
    <row r="24" spans="1:13" ht="12">
      <c r="A24" s="26">
        <v>15</v>
      </c>
      <c r="B24" s="24">
        <v>830034462</v>
      </c>
      <c r="C24" s="25" t="s">
        <v>55</v>
      </c>
      <c r="D24" s="41">
        <v>2158338815</v>
      </c>
      <c r="E24" s="41">
        <v>2764882398</v>
      </c>
      <c r="F24" s="41">
        <v>969167654</v>
      </c>
      <c r="G24" s="41">
        <v>1517506694</v>
      </c>
      <c r="H24" s="25"/>
      <c r="I24" s="83">
        <f t="shared" si="0"/>
        <v>2.227002527469824</v>
      </c>
      <c r="J24" s="84">
        <f t="shared" si="1"/>
        <v>1189171161</v>
      </c>
      <c r="K24" s="85">
        <f t="shared" si="2"/>
        <v>0.5488503580107786</v>
      </c>
      <c r="L24" s="84">
        <f t="shared" si="3"/>
        <v>1247375704</v>
      </c>
      <c r="M24" s="25" t="str">
        <f>+INNOVATEK!J41</f>
        <v>ADMISIBLE</v>
      </c>
    </row>
    <row r="25" spans="1:13" ht="12">
      <c r="A25" s="92">
        <v>16</v>
      </c>
      <c r="B25" s="24">
        <v>900042771</v>
      </c>
      <c r="C25" s="25" t="s">
        <v>85</v>
      </c>
      <c r="D25" s="48">
        <v>7938523991</v>
      </c>
      <c r="E25" s="48">
        <v>8764276281</v>
      </c>
      <c r="F25" s="48">
        <v>5766649940</v>
      </c>
      <c r="G25" s="48">
        <v>5766649940</v>
      </c>
      <c r="H25" s="42"/>
      <c r="I25" s="83">
        <f>+D25/F25</f>
        <v>1.376626650411868</v>
      </c>
      <c r="J25" s="84">
        <f>+D25-F25</f>
        <v>2171874051</v>
      </c>
      <c r="K25" s="85">
        <f>+G25/E25</f>
        <v>0.6579721764935083</v>
      </c>
      <c r="L25" s="84">
        <f>+E25-G25</f>
        <v>2997626341</v>
      </c>
      <c r="M25" s="93" t="s">
        <v>91</v>
      </c>
    </row>
    <row r="26" spans="1:13" ht="12">
      <c r="A26" s="92"/>
      <c r="B26" s="24">
        <v>830226214</v>
      </c>
      <c r="C26" s="25" t="s">
        <v>86</v>
      </c>
      <c r="D26" s="48">
        <v>985790557</v>
      </c>
      <c r="E26" s="48">
        <v>1077929585</v>
      </c>
      <c r="F26" s="48">
        <v>594668959</v>
      </c>
      <c r="G26" s="48">
        <f>+F26</f>
        <v>594668959</v>
      </c>
      <c r="H26" s="42"/>
      <c r="I26" s="83">
        <f>+D26/F26</f>
        <v>1.6577131563377936</v>
      </c>
      <c r="J26" s="84">
        <f>+D26-F26</f>
        <v>391121598</v>
      </c>
      <c r="K26" s="85">
        <f>+G26/E26</f>
        <v>0.5516769993839625</v>
      </c>
      <c r="L26" s="84">
        <f>+E26-G26</f>
        <v>483260626</v>
      </c>
      <c r="M26" s="93"/>
    </row>
    <row r="27" spans="1:13" ht="12">
      <c r="A27" s="53">
        <v>17</v>
      </c>
      <c r="B27" s="53">
        <v>860052064</v>
      </c>
      <c r="C27" s="54" t="s">
        <v>43</v>
      </c>
      <c r="D27" s="55"/>
      <c r="E27" s="55"/>
      <c r="F27" s="55"/>
      <c r="G27" s="55"/>
      <c r="H27" s="54"/>
      <c r="I27" s="83" t="e">
        <f>+D27/F27</f>
        <v>#DIV/0!</v>
      </c>
      <c r="J27" s="84">
        <f>+D27-F27</f>
        <v>0</v>
      </c>
      <c r="K27" s="85" t="e">
        <f>+G27/E27</f>
        <v>#DIV/0!</v>
      </c>
      <c r="L27" s="84">
        <f>+E27-G27</f>
        <v>0</v>
      </c>
      <c r="M27" s="54"/>
    </row>
    <row r="28" spans="1:13" ht="12">
      <c r="A28" s="26">
        <v>18</v>
      </c>
      <c r="B28" s="24">
        <v>860090404</v>
      </c>
      <c r="C28" s="25" t="s">
        <v>38</v>
      </c>
      <c r="D28" s="41">
        <v>8162038827.13</v>
      </c>
      <c r="E28" s="41">
        <v>8858856477.92</v>
      </c>
      <c r="F28" s="41">
        <v>3514076090.01</v>
      </c>
      <c r="G28" s="41">
        <v>3916844090.01</v>
      </c>
      <c r="H28" s="25"/>
      <c r="I28" s="83">
        <f t="shared" si="0"/>
        <v>2.322669918939283</v>
      </c>
      <c r="J28" s="84">
        <f t="shared" si="1"/>
        <v>4647962737.12</v>
      </c>
      <c r="K28" s="85">
        <f t="shared" si="2"/>
        <v>0.4421387906861822</v>
      </c>
      <c r="L28" s="84">
        <f t="shared" si="3"/>
        <v>4942012387.91</v>
      </c>
      <c r="M28" s="25" t="str">
        <f>+'SSITEMAS E INSTRUMENTACION'!J41</f>
        <v>ADMISIBLE</v>
      </c>
    </row>
    <row r="29" spans="1:13" ht="12">
      <c r="A29" s="26">
        <v>19</v>
      </c>
      <c r="B29" s="24">
        <v>800198583</v>
      </c>
      <c r="C29" s="25" t="s">
        <v>58</v>
      </c>
      <c r="D29" s="41">
        <v>4590739412</v>
      </c>
      <c r="E29" s="41">
        <v>7872169815</v>
      </c>
      <c r="F29" s="41">
        <v>2026819212</v>
      </c>
      <c r="G29" s="41">
        <v>2689322224</v>
      </c>
      <c r="H29" s="25"/>
      <c r="I29" s="83">
        <f t="shared" si="0"/>
        <v>2.264996988789151</v>
      </c>
      <c r="J29" s="84">
        <f t="shared" si="1"/>
        <v>2563920200</v>
      </c>
      <c r="K29" s="85">
        <f t="shared" si="2"/>
        <v>0.34162401055877123</v>
      </c>
      <c r="L29" s="84">
        <f t="shared" si="3"/>
        <v>5182847591</v>
      </c>
      <c r="M29" s="25" t="str">
        <f>+BIOMOL!J41</f>
        <v>ADMISIBLE</v>
      </c>
    </row>
    <row r="30" spans="1:13" ht="12">
      <c r="A30" s="26">
        <v>20</v>
      </c>
      <c r="B30" s="24">
        <v>860502528</v>
      </c>
      <c r="C30" s="25" t="s">
        <v>42</v>
      </c>
      <c r="D30" s="41">
        <v>3647374097</v>
      </c>
      <c r="E30" s="41">
        <v>3912589861</v>
      </c>
      <c r="F30" s="41">
        <v>1396071946</v>
      </c>
      <c r="G30" s="41">
        <v>1565155238</v>
      </c>
      <c r="H30" s="25"/>
      <c r="I30" s="83">
        <f t="shared" si="0"/>
        <v>2.612597515085372</v>
      </c>
      <c r="J30" s="84">
        <f t="shared" si="1"/>
        <v>2251302151</v>
      </c>
      <c r="K30" s="85">
        <f t="shared" si="2"/>
        <v>0.40003048967672006</v>
      </c>
      <c r="L30" s="84">
        <f t="shared" si="3"/>
        <v>2347434623</v>
      </c>
      <c r="M30" s="25" t="str">
        <f>+'CASA CIENTIFICA'!J41</f>
        <v>ADMISIBLE</v>
      </c>
    </row>
    <row r="31" spans="1:13" ht="12">
      <c r="A31" s="26">
        <v>21</v>
      </c>
      <c r="B31" s="24">
        <v>830101830</v>
      </c>
      <c r="C31" s="25" t="s">
        <v>51</v>
      </c>
      <c r="D31" s="41">
        <v>607955318</v>
      </c>
      <c r="E31" s="41">
        <v>897610806</v>
      </c>
      <c r="F31" s="41">
        <v>204222899</v>
      </c>
      <c r="G31" s="41">
        <v>249581934</v>
      </c>
      <c r="H31" s="25"/>
      <c r="I31" s="83">
        <f t="shared" si="0"/>
        <v>2.976920418703879</v>
      </c>
      <c r="J31" s="84">
        <f t="shared" si="1"/>
        <v>403732419</v>
      </c>
      <c r="K31" s="85">
        <f t="shared" si="2"/>
        <v>0.2780513919080426</v>
      </c>
      <c r="L31" s="84">
        <f t="shared" si="3"/>
        <v>648028872</v>
      </c>
      <c r="M31" s="25" t="str">
        <f>+'ADVANCED INSTRUMENTACION'!J41</f>
        <v>ADMISIBLE</v>
      </c>
    </row>
    <row r="32" spans="1:13" ht="12">
      <c r="A32" s="26">
        <v>22</v>
      </c>
      <c r="B32" s="24">
        <v>891411709</v>
      </c>
      <c r="C32" s="25" t="s">
        <v>87</v>
      </c>
      <c r="D32" s="41">
        <v>3750151000</v>
      </c>
      <c r="E32" s="41">
        <v>4478646000</v>
      </c>
      <c r="F32" s="41">
        <v>2522251000</v>
      </c>
      <c r="G32" s="41">
        <v>2522251000</v>
      </c>
      <c r="H32" s="25"/>
      <c r="I32" s="83">
        <f t="shared" si="0"/>
        <v>1.486827044572487</v>
      </c>
      <c r="J32" s="86">
        <f t="shared" si="1"/>
        <v>1227900000</v>
      </c>
      <c r="K32" s="85">
        <f t="shared" si="2"/>
        <v>0.5631726642382542</v>
      </c>
      <c r="L32" s="84">
        <f t="shared" si="3"/>
        <v>1956395000</v>
      </c>
      <c r="M32" s="25" t="str">
        <f>+IMPOINTER!J41</f>
        <v>ADMISIBLE</v>
      </c>
    </row>
    <row r="33" spans="1:13" ht="12">
      <c r="A33" s="26">
        <v>23</v>
      </c>
      <c r="B33" s="24">
        <v>890943055</v>
      </c>
      <c r="C33" s="25" t="s">
        <v>88</v>
      </c>
      <c r="D33" s="41">
        <v>2725246000</v>
      </c>
      <c r="E33" s="41">
        <v>2997400000</v>
      </c>
      <c r="F33" s="41">
        <v>807198000</v>
      </c>
      <c r="G33" s="41">
        <v>955596000</v>
      </c>
      <c r="H33" s="25"/>
      <c r="I33" s="83">
        <f t="shared" si="0"/>
        <v>3.376180317592462</v>
      </c>
      <c r="J33" s="86">
        <f t="shared" si="1"/>
        <v>1918048000</v>
      </c>
      <c r="K33" s="85">
        <f t="shared" si="2"/>
        <v>0.3188083005271235</v>
      </c>
      <c r="L33" s="84">
        <f t="shared" si="3"/>
        <v>2041804000</v>
      </c>
      <c r="M33" s="25" t="str">
        <f>+SUCONEL!J41</f>
        <v>ADMISIBLE</v>
      </c>
    </row>
    <row r="34" spans="1:13" ht="12">
      <c r="A34" s="26">
        <v>24</v>
      </c>
      <c r="B34" s="24">
        <v>860003168</v>
      </c>
      <c r="C34" s="25" t="s">
        <v>47</v>
      </c>
      <c r="D34" s="41">
        <v>61908233245</v>
      </c>
      <c r="E34" s="41">
        <v>106843047063</v>
      </c>
      <c r="F34" s="41">
        <v>36739414954</v>
      </c>
      <c r="G34" s="41">
        <v>53192762954</v>
      </c>
      <c r="H34" s="25"/>
      <c r="I34" s="83">
        <f t="shared" si="0"/>
        <v>1.6850631215143983</v>
      </c>
      <c r="J34" s="84">
        <f t="shared" si="1"/>
        <v>25168818291</v>
      </c>
      <c r="K34" s="85">
        <f t="shared" si="2"/>
        <v>0.49785891001999305</v>
      </c>
      <c r="L34" s="84">
        <f t="shared" si="3"/>
        <v>53650284109</v>
      </c>
      <c r="M34" s="25" t="str">
        <f>+IMOCOM!J41</f>
        <v>ADMISIBLE</v>
      </c>
    </row>
    <row r="35" spans="1:13" ht="12">
      <c r="A35" s="26">
        <v>25</v>
      </c>
      <c r="B35" s="24">
        <v>800019976</v>
      </c>
      <c r="C35" s="25" t="s">
        <v>56</v>
      </c>
      <c r="D35" s="41">
        <v>1704399067.74</v>
      </c>
      <c r="E35" s="41">
        <v>2188719393.14</v>
      </c>
      <c r="F35" s="41">
        <v>789117603.96</v>
      </c>
      <c r="G35" s="41">
        <v>1154256104.65</v>
      </c>
      <c r="H35" s="25"/>
      <c r="I35" s="83">
        <f t="shared" si="0"/>
        <v>2.15987966709509</v>
      </c>
      <c r="J35" s="84">
        <f t="shared" si="1"/>
        <v>915281463.78</v>
      </c>
      <c r="K35" s="85">
        <f t="shared" si="2"/>
        <v>0.5273659603271806</v>
      </c>
      <c r="L35" s="84">
        <f t="shared" si="3"/>
        <v>1034463288.4899998</v>
      </c>
      <c r="M35" s="25" t="str">
        <f>+'DISSMAN ING.'!J41</f>
        <v>ADMISIBLE</v>
      </c>
    </row>
    <row r="36" spans="1:13" ht="12">
      <c r="A36" s="26">
        <v>26</v>
      </c>
      <c r="B36" s="24">
        <v>830047092</v>
      </c>
      <c r="C36" s="25" t="s">
        <v>49</v>
      </c>
      <c r="D36" s="41">
        <v>180233078.22</v>
      </c>
      <c r="E36" s="41">
        <v>189850378.04</v>
      </c>
      <c r="F36" s="41">
        <v>113607750.59</v>
      </c>
      <c r="G36" s="41">
        <v>114810630.59</v>
      </c>
      <c r="H36" s="25"/>
      <c r="I36" s="83">
        <f t="shared" si="0"/>
        <v>1.5864505483472224</v>
      </c>
      <c r="J36" s="84">
        <f t="shared" si="1"/>
        <v>66625327.629999995</v>
      </c>
      <c r="K36" s="85">
        <f t="shared" si="2"/>
        <v>0.6047427019914088</v>
      </c>
      <c r="L36" s="84">
        <f t="shared" si="3"/>
        <v>75039747.44999999</v>
      </c>
      <c r="M36" s="25" t="str">
        <f>+MAVE!J41</f>
        <v>INADMISIBLE</v>
      </c>
    </row>
    <row r="37" spans="1:13" ht="12">
      <c r="A37" s="26">
        <v>27</v>
      </c>
      <c r="B37" s="24">
        <v>830034233</v>
      </c>
      <c r="C37" s="25" t="s">
        <v>57</v>
      </c>
      <c r="D37" s="41">
        <v>1580453960</v>
      </c>
      <c r="E37" s="41">
        <v>2040127309</v>
      </c>
      <c r="F37" s="41">
        <v>424435045</v>
      </c>
      <c r="G37" s="41">
        <v>561657045</v>
      </c>
      <c r="H37" s="25"/>
      <c r="I37" s="83">
        <f t="shared" si="0"/>
        <v>3.723665089907927</v>
      </c>
      <c r="J37" s="84">
        <f t="shared" si="1"/>
        <v>1156018915</v>
      </c>
      <c r="K37" s="85">
        <f t="shared" si="2"/>
        <v>0.2753049001021926</v>
      </c>
      <c r="L37" s="84">
        <f t="shared" si="3"/>
        <v>1478470264</v>
      </c>
      <c r="M37" s="25" t="str">
        <f>+'AM LTDA.'!J41</f>
        <v>ADMISIBLE</v>
      </c>
    </row>
    <row r="38" spans="1:13" ht="12">
      <c r="A38" s="26">
        <v>28</v>
      </c>
      <c r="B38" s="24">
        <v>860000580</v>
      </c>
      <c r="C38" s="25" t="s">
        <v>60</v>
      </c>
      <c r="D38" s="48">
        <v>104180575000</v>
      </c>
      <c r="E38" s="48">
        <v>162484930000</v>
      </c>
      <c r="F38" s="48">
        <v>51320218000</v>
      </c>
      <c r="G38" s="48">
        <v>56590760000</v>
      </c>
      <c r="H38" s="42"/>
      <c r="I38" s="83">
        <f t="shared" si="0"/>
        <v>2.030010375248211</v>
      </c>
      <c r="J38" s="84">
        <f t="shared" si="1"/>
        <v>52860357000</v>
      </c>
      <c r="K38" s="85">
        <f t="shared" si="2"/>
        <v>0.3482831300108878</v>
      </c>
      <c r="L38" s="84">
        <f t="shared" si="3"/>
        <v>105894170000</v>
      </c>
      <c r="M38" s="25" t="str">
        <f>+MERCK!J41</f>
        <v>ADMISIBLE</v>
      </c>
    </row>
    <row r="39" spans="1:13" ht="12">
      <c r="A39" s="26">
        <v>29</v>
      </c>
      <c r="B39" s="24">
        <v>830122576</v>
      </c>
      <c r="C39" s="25" t="s">
        <v>50</v>
      </c>
      <c r="D39" s="41">
        <v>1529752144</v>
      </c>
      <c r="E39" s="41">
        <v>1794084474</v>
      </c>
      <c r="F39" s="41">
        <v>497588690</v>
      </c>
      <c r="G39" s="41">
        <v>497588690</v>
      </c>
      <c r="H39" s="25"/>
      <c r="I39" s="83">
        <f t="shared" si="0"/>
        <v>3.074330616316862</v>
      </c>
      <c r="J39" s="84">
        <f t="shared" si="1"/>
        <v>1032163454</v>
      </c>
      <c r="K39" s="85">
        <f t="shared" si="2"/>
        <v>0.27734964390534045</v>
      </c>
      <c r="L39" s="84">
        <f t="shared" si="3"/>
        <v>1296495784</v>
      </c>
      <c r="M39" s="25" t="str">
        <f>+METRICOM!J41</f>
        <v>ADMISIBLE</v>
      </c>
    </row>
    <row r="40" spans="1:13" ht="12">
      <c r="A40" s="26">
        <v>30</v>
      </c>
      <c r="B40" s="24">
        <v>800066243</v>
      </c>
      <c r="C40" s="25" t="s">
        <v>61</v>
      </c>
      <c r="D40" s="48">
        <v>319551583</v>
      </c>
      <c r="E40" s="48">
        <v>514057000</v>
      </c>
      <c r="F40" s="48">
        <v>24600000</v>
      </c>
      <c r="G40" s="48">
        <v>24600000</v>
      </c>
      <c r="H40" s="42"/>
      <c r="I40" s="83">
        <f t="shared" si="0"/>
        <v>12.98990174796748</v>
      </c>
      <c r="J40" s="84">
        <f t="shared" si="1"/>
        <v>294951583</v>
      </c>
      <c r="K40" s="85">
        <f t="shared" si="2"/>
        <v>0.0478546153442128</v>
      </c>
      <c r="L40" s="84">
        <f t="shared" si="3"/>
        <v>489457000</v>
      </c>
      <c r="M40" s="25" t="str">
        <f>+GAMATECNICA!J41</f>
        <v>ADMISIBLE</v>
      </c>
    </row>
    <row r="41" spans="1:13" ht="12">
      <c r="A41" s="26">
        <v>31</v>
      </c>
      <c r="B41" s="24">
        <v>830051298</v>
      </c>
      <c r="C41" s="25" t="s">
        <v>39</v>
      </c>
      <c r="D41" s="41">
        <v>4490752000</v>
      </c>
      <c r="E41" s="41">
        <v>4766810000</v>
      </c>
      <c r="F41" s="41">
        <v>2309371000</v>
      </c>
      <c r="G41" s="41">
        <v>2310736000</v>
      </c>
      <c r="H41" s="25"/>
      <c r="I41" s="83">
        <f t="shared" si="0"/>
        <v>1.9445779824896043</v>
      </c>
      <c r="J41" s="84">
        <f t="shared" si="1"/>
        <v>2181381000</v>
      </c>
      <c r="K41" s="85">
        <f t="shared" si="2"/>
        <v>0.4847552136544146</v>
      </c>
      <c r="L41" s="84">
        <f t="shared" si="3"/>
        <v>2456074000</v>
      </c>
      <c r="M41" s="25" t="str">
        <f>+'GEOSYSTEM ING'!J41</f>
        <v>ADMISIBLE</v>
      </c>
    </row>
    <row r="42" spans="1:13" ht="12">
      <c r="A42" s="26">
        <v>32</v>
      </c>
      <c r="B42" s="24">
        <v>800035478</v>
      </c>
      <c r="C42" s="25" t="s">
        <v>89</v>
      </c>
      <c r="D42" s="41">
        <v>1344092825</v>
      </c>
      <c r="E42" s="41">
        <v>1895221665</v>
      </c>
      <c r="F42" s="41">
        <v>426402645</v>
      </c>
      <c r="G42" s="41">
        <v>1039008617</v>
      </c>
      <c r="H42" s="25"/>
      <c r="I42" s="83">
        <f t="shared" si="0"/>
        <v>3.1521681226907026</v>
      </c>
      <c r="J42" s="84">
        <f t="shared" si="1"/>
        <v>917690180</v>
      </c>
      <c r="K42" s="85">
        <f t="shared" si="2"/>
        <v>0.5482253797473342</v>
      </c>
      <c r="L42" s="84">
        <f t="shared" si="3"/>
        <v>856213048</v>
      </c>
      <c r="M42" s="25" t="str">
        <f>+TOPOEQUIPOS!J41</f>
        <v>ADMISIBLE</v>
      </c>
    </row>
    <row r="43" spans="1:13" ht="12">
      <c r="A43" s="26">
        <v>33</v>
      </c>
      <c r="B43" s="24">
        <v>830065750</v>
      </c>
      <c r="C43" s="25" t="s">
        <v>52</v>
      </c>
      <c r="D43" s="41">
        <v>3154246811</v>
      </c>
      <c r="E43" s="41">
        <v>3759911735</v>
      </c>
      <c r="F43" s="41">
        <v>576242154</v>
      </c>
      <c r="G43" s="41">
        <v>2024330794</v>
      </c>
      <c r="H43" s="25"/>
      <c r="I43" s="83">
        <f t="shared" si="0"/>
        <v>5.47382170690692</v>
      </c>
      <c r="J43" s="84">
        <f t="shared" si="1"/>
        <v>2578004657</v>
      </c>
      <c r="K43" s="85">
        <f t="shared" si="2"/>
        <v>0.5383984882294052</v>
      </c>
      <c r="L43" s="84">
        <f t="shared" si="3"/>
        <v>1735580941</v>
      </c>
      <c r="M43" s="25" t="str">
        <f>+'ELECTROEQUIPOS DE COLLOMBIA'!J41</f>
        <v>ADMISIBLE</v>
      </c>
    </row>
    <row r="46" ht="15" customHeight="1">
      <c r="C46" s="31" t="s">
        <v>72</v>
      </c>
    </row>
    <row r="47" ht="12.75" customHeight="1"/>
    <row r="48" ht="12">
      <c r="C48" s="56" t="s">
        <v>90</v>
      </c>
    </row>
  </sheetData>
  <sheetProtection/>
  <mergeCells count="10">
    <mergeCell ref="D8:G8"/>
    <mergeCell ref="I8:L8"/>
    <mergeCell ref="A25:A26"/>
    <mergeCell ref="M25:M26"/>
    <mergeCell ref="A5:J5"/>
    <mergeCell ref="A6:J6"/>
    <mergeCell ref="A1:J1"/>
    <mergeCell ref="A2:J2"/>
    <mergeCell ref="A3:J3"/>
    <mergeCell ref="A4:J4"/>
  </mergeCells>
  <printOptions/>
  <pageMargins left="0.7480314960629921" right="0.15748031496062992" top="0.984251968503937" bottom="0.984251968503937" header="0" footer="0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7">
      <selection activeCell="J42" sqref="J42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28125" style="0" customWidth="1"/>
    <col min="4" max="4" width="14.57421875" style="0" customWidth="1"/>
    <col min="5" max="5" width="15.57421875" style="0" customWidth="1"/>
    <col min="6" max="6" width="13.1406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108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290628770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860001130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INSTRUMENTACION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7835115346</v>
      </c>
      <c r="G25" s="118">
        <f>+F25/F26</f>
        <v>1.089762520699284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7189745653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8414292345</v>
      </c>
      <c r="G29" s="144">
        <f>(+F29/F30)</f>
        <v>0.7369127188425435</v>
      </c>
      <c r="H29" s="120"/>
      <c r="I29" s="120" t="s">
        <v>74</v>
      </c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11418302507</v>
      </c>
      <c r="G30" s="145"/>
      <c r="H30" s="121"/>
      <c r="I30" s="121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7835115346</v>
      </c>
      <c r="G33" s="122">
        <f>F33-F34</f>
        <v>645369693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7189745653</v>
      </c>
      <c r="G34" s="175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290628770</v>
      </c>
      <c r="G35" s="10">
        <f>+F35*65%</f>
        <v>188908700.5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76"/>
      <c r="D38" s="177"/>
      <c r="E38" s="71" t="s">
        <v>96</v>
      </c>
      <c r="F38" s="58">
        <f>+D16</f>
        <v>290628770</v>
      </c>
      <c r="G38" s="122">
        <f>+'Indicadores Media 2010'!E18-'Indicadores Media 2010'!G18</f>
        <v>3004010162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78"/>
      <c r="C39" s="179"/>
      <c r="D39" s="180"/>
      <c r="E39" s="71" t="s">
        <v>94</v>
      </c>
      <c r="F39" s="58">
        <f>+F38*75%</f>
        <v>217971577.5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108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7" bottom="0.55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98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80</v>
      </c>
      <c r="B16" s="27"/>
      <c r="C16" s="27"/>
      <c r="D16" s="28">
        <v>261918251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860001911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KAIKA SAS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8167981000</v>
      </c>
      <c r="G25" s="118">
        <f>+F25/F26</f>
        <v>1.76071336649265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4639018000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4639018000</v>
      </c>
      <c r="G29" s="144">
        <f>(+F29/F30)</f>
        <v>0.5052564327095581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9181512000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8167981000</v>
      </c>
      <c r="G33" s="122">
        <f>F33-F34</f>
        <v>3528963000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4639018000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261918251</v>
      </c>
      <c r="G35" s="10">
        <f>+F35*65%</f>
        <v>170246863.15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 t="s">
        <v>74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13" t="s">
        <v>96</v>
      </c>
      <c r="F38" s="58">
        <f>+D16</f>
        <v>261918251</v>
      </c>
      <c r="G38" s="122">
        <f>+'Indicadores Media 2010'!E19-'Indicadores Media 2010'!G19</f>
        <v>4542494000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13" t="s">
        <v>94</v>
      </c>
      <c r="F39" s="58">
        <f>+F38*76%</f>
        <v>199057870.76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1.76" right="0.7480314960629921" top="0.6299212598425197" bottom="0.5905511811023623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629981784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830014721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NUEVOS RECURSOS NR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2560874779</v>
      </c>
      <c r="G25" s="118">
        <f>+F25/F26</f>
        <v>2.0576979718149087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1244533850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1901635537</v>
      </c>
      <c r="G29" s="144">
        <f>(+F29/F30)</f>
        <v>0.4866655602500186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3907479165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2560874779</v>
      </c>
      <c r="G33" s="122">
        <f>F33-F34</f>
        <v>1316340929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1244533850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629981784</v>
      </c>
      <c r="G35" s="10">
        <f>+F35*65%</f>
        <v>409488159.6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629981784</v>
      </c>
      <c r="G38" s="122">
        <f>+'Indicadores Media 2010'!E20-'Indicadores Media 2010'!G20</f>
        <v>2005843628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472486338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6" bottom="0.63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6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965855464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830007414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ICL DIDACTICA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1478736509.64</v>
      </c>
      <c r="G25" s="118">
        <f>+F25/F26</f>
        <v>2.544565233482523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581135232.92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581135232.92</v>
      </c>
      <c r="G29" s="144">
        <f>(+F29/F30)</f>
        <v>0.3749922593410466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1549725943.52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1478736509.64</v>
      </c>
      <c r="G33" s="122">
        <f>F33-F34</f>
        <v>897601276.7200001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581135232.92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965855464</v>
      </c>
      <c r="G35" s="10">
        <f>+F35*65%</f>
        <v>627806051.6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71" t="s">
        <v>96</v>
      </c>
      <c r="F38" s="58">
        <f>+D16</f>
        <v>965855464</v>
      </c>
      <c r="G38" s="122">
        <f>+'Indicadores Media 2010'!E21-'Indicadores Media 2010'!G21</f>
        <v>968590710.6</v>
      </c>
      <c r="H38" s="157" t="s">
        <v>73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1" t="s">
        <v>94</v>
      </c>
      <c r="F39" s="58">
        <f>+F38*75%</f>
        <v>724391598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5" bottom="0.53" header="0" footer="0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6">
      <selection activeCell="K39" sqref="K3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89171984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830006419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PLINTEC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343250557</v>
      </c>
      <c r="G25" s="118">
        <f>+F25/F26</f>
        <v>2.649703341007644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129543014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445791071</v>
      </c>
      <c r="G29" s="144">
        <f>(+F29/F30)</f>
        <v>0.447800889609342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995511803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343250557</v>
      </c>
      <c r="G33" s="122">
        <f>F33-F34</f>
        <v>213707543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129543014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89171984</v>
      </c>
      <c r="G35" s="10">
        <f>+F35*65%</f>
        <v>57961789.6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89171984</v>
      </c>
      <c r="G38" s="122">
        <f>+'Indicadores Media 2010'!E22-'Indicadores Media 2010'!G22</f>
        <v>549720732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66878988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5" bottom="0.57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196247630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800078000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KASAY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729648124.34</v>
      </c>
      <c r="G25" s="118">
        <f>+F25/F26</f>
        <v>1.426992461643696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511318835.91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536318835.91</v>
      </c>
      <c r="G29" s="144">
        <f>(+F29/F30)</f>
        <v>0.6154060704827117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871487724.34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729648124.34</v>
      </c>
      <c r="G33" s="164">
        <f>F33-F34</f>
        <v>218329288.43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511318835.91</v>
      </c>
      <c r="G34" s="165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96</v>
      </c>
      <c r="F35" s="58">
        <f>+D16</f>
        <v>196247630</v>
      </c>
      <c r="G35" s="10">
        <f>+F35*65%</f>
        <v>127560959.5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104</v>
      </c>
      <c r="C38" s="100"/>
      <c r="D38" s="101"/>
      <c r="E38" s="71" t="s">
        <v>96</v>
      </c>
      <c r="F38" s="58">
        <f>+D16</f>
        <v>196247630</v>
      </c>
      <c r="G38" s="122">
        <f>+'Indicadores Media 2010'!E23-'Indicadores Media 2010'!G23</f>
        <v>335168888.43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1" t="s">
        <v>94</v>
      </c>
      <c r="F39" s="58">
        <f>+F38*75%</f>
        <v>147185722.5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52" bottom="0.5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215180000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830034462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INNOVATEK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2158338815</v>
      </c>
      <c r="G25" s="118">
        <f>+F25/F26</f>
        <v>2.227002527469824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969167654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1517506694</v>
      </c>
      <c r="G29" s="144">
        <f>(+F29/F30)</f>
        <v>0.5488503580107786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2764882398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2158338815</v>
      </c>
      <c r="G33" s="122">
        <f>F33-F34</f>
        <v>1189171161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969167654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96</v>
      </c>
      <c r="F35" s="58">
        <f>+D16</f>
        <v>215180000</v>
      </c>
      <c r="G35" s="58">
        <f>+F35*65%</f>
        <v>139867000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79</v>
      </c>
      <c r="F38" s="58">
        <f>+D16</f>
        <v>215180000</v>
      </c>
      <c r="G38" s="122">
        <f>+'Indicadores Media 2010'!E24-'Indicadores Media 2010'!G24</f>
        <v>1247375704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161385000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8" bottom="0.61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81"/>
  <sheetViews>
    <sheetView zoomScale="102" zoomScaleNormal="102" zoomScalePageLayoutView="0" workbookViewId="0" topLeftCell="H4">
      <selection activeCell="L14" sqref="L14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2.421875" style="0" bestFit="1" customWidth="1"/>
    <col min="13" max="13" width="12.421875" style="0" customWidth="1"/>
    <col min="14" max="14" width="6.00390625" style="0" customWidth="1"/>
    <col min="15" max="15" width="5.57421875" style="0" customWidth="1"/>
    <col min="18" max="18" width="12.421875" style="0" bestFit="1" customWidth="1"/>
    <col min="19" max="19" width="13.28125" style="0" customWidth="1"/>
    <col min="20" max="21" width="7.00390625" style="0" customWidth="1"/>
    <col min="22" max="22" width="16.28125" style="0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108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9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9">
        <v>116000000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115" t="s">
        <v>8</v>
      </c>
      <c r="L18" s="116"/>
      <c r="M18" s="116"/>
      <c r="N18" s="116"/>
      <c r="O18" s="116"/>
      <c r="P18" s="117"/>
      <c r="Q18" s="115" t="s">
        <v>8</v>
      </c>
      <c r="R18" s="116"/>
      <c r="S18" s="116"/>
      <c r="T18" s="116"/>
      <c r="U18" s="116"/>
      <c r="V18" s="11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3">
        <v>900042771</v>
      </c>
      <c r="H19" s="21"/>
      <c r="I19" s="21"/>
      <c r="J19" s="3"/>
      <c r="K19" s="20"/>
      <c r="L19" s="21" t="s">
        <v>33</v>
      </c>
      <c r="M19" s="23">
        <v>830226214</v>
      </c>
      <c r="N19" s="21"/>
      <c r="O19" s="21"/>
      <c r="P19" s="3"/>
      <c r="Q19" s="20"/>
      <c r="R19" s="21"/>
      <c r="S19" s="21"/>
      <c r="T19" s="21"/>
      <c r="U19" s="21"/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customHeight="1" thickBot="1">
      <c r="A20" s="139"/>
      <c r="B20" s="108"/>
      <c r="C20" s="109"/>
      <c r="D20" s="110"/>
      <c r="E20" s="135" t="s">
        <v>70</v>
      </c>
      <c r="F20" s="136"/>
      <c r="G20" s="136"/>
      <c r="H20" s="136"/>
      <c r="I20" s="136"/>
      <c r="J20" s="137"/>
      <c r="K20" s="135" t="str">
        <f>VLOOKUP(M19,'Indicadores Media 2010'!B10:C43,2,0)</f>
        <v>USERTECNO SAS - 8%</v>
      </c>
      <c r="L20" s="136"/>
      <c r="M20" s="136"/>
      <c r="N20" s="136"/>
      <c r="O20" s="136"/>
      <c r="P20" s="137"/>
      <c r="Q20" s="181" t="s">
        <v>72</v>
      </c>
      <c r="R20" s="182"/>
      <c r="S20" s="182"/>
      <c r="T20" s="182"/>
      <c r="U20" s="182"/>
      <c r="V20" s="18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115" t="s">
        <v>0</v>
      </c>
      <c r="L21" s="116"/>
      <c r="M21" s="116"/>
      <c r="N21" s="116"/>
      <c r="O21" s="116"/>
      <c r="P21" s="117"/>
      <c r="Q21" s="115" t="s">
        <v>0</v>
      </c>
      <c r="R21" s="116"/>
      <c r="S21" s="116"/>
      <c r="T21" s="116"/>
      <c r="U21" s="116"/>
      <c r="V21" s="117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 t="s">
        <v>71</v>
      </c>
      <c r="F22" s="17"/>
      <c r="G22" s="80">
        <v>0.92</v>
      </c>
      <c r="H22" s="4" t="s">
        <v>2</v>
      </c>
      <c r="I22" s="3" t="s">
        <v>1</v>
      </c>
      <c r="J22" s="3" t="s">
        <v>6</v>
      </c>
      <c r="K22" s="16" t="s">
        <v>71</v>
      </c>
      <c r="L22" s="17"/>
      <c r="M22" s="80">
        <v>0.08</v>
      </c>
      <c r="N22" s="4" t="s">
        <v>2</v>
      </c>
      <c r="O22" s="3" t="s">
        <v>1</v>
      </c>
      <c r="P22" s="3" t="s">
        <v>6</v>
      </c>
      <c r="Q22" s="16" t="s">
        <v>35</v>
      </c>
      <c r="R22" s="30">
        <f>+G22+M22</f>
        <v>1</v>
      </c>
      <c r="S22" s="3"/>
      <c r="T22" s="4" t="s">
        <v>2</v>
      </c>
      <c r="U22" s="3" t="s">
        <v>1</v>
      </c>
      <c r="V22" s="3" t="s">
        <v>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6"/>
      <c r="L24" s="6"/>
      <c r="M24" s="6"/>
      <c r="N24" s="5"/>
      <c r="O24" s="5"/>
      <c r="P24" s="5"/>
      <c r="Q24" s="6"/>
      <c r="R24" s="6"/>
      <c r="S24" s="6"/>
      <c r="T24" s="5"/>
      <c r="U24" s="5"/>
      <c r="V24" s="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25" thickBot="1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2010'!B10:D43,3,0)</f>
        <v>7938523991</v>
      </c>
      <c r="G25" s="118">
        <f>(+F25/F26)*G22</f>
        <v>1.2664965183789187</v>
      </c>
      <c r="H25" s="120" t="s">
        <v>74</v>
      </c>
      <c r="I25" s="96"/>
      <c r="J25" s="96"/>
      <c r="K25" s="7" t="s">
        <v>15</v>
      </c>
      <c r="L25" s="8">
        <f>VLOOKUP(M19,'Indicadores Media 2010'!B10:G43,3,0)</f>
        <v>985790557</v>
      </c>
      <c r="M25" s="118">
        <f>(+L25/L26)*M22</f>
        <v>0.1326170525070235</v>
      </c>
      <c r="N25" s="120" t="s">
        <v>74</v>
      </c>
      <c r="O25" s="96"/>
      <c r="P25" s="96"/>
      <c r="Q25" s="7" t="s">
        <v>15</v>
      </c>
      <c r="R25" s="10">
        <f>+F25+L25</f>
        <v>8924314548</v>
      </c>
      <c r="S25" s="118">
        <f>+G25+M25</f>
        <v>1.3991135708859423</v>
      </c>
      <c r="T25" s="120" t="s">
        <v>74</v>
      </c>
      <c r="U25" s="120"/>
      <c r="V25" s="9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2010'!B10:F43,5,0)</f>
        <v>5766649940</v>
      </c>
      <c r="G26" s="119"/>
      <c r="H26" s="121"/>
      <c r="I26" s="97"/>
      <c r="J26" s="97"/>
      <c r="K26" s="9" t="s">
        <v>16</v>
      </c>
      <c r="L26" s="10">
        <f>VLOOKUP(M19,'Indicadores Media 2010'!B10:G43,5,0)</f>
        <v>594668959</v>
      </c>
      <c r="M26" s="119"/>
      <c r="N26" s="121"/>
      <c r="O26" s="97"/>
      <c r="P26" s="97"/>
      <c r="Q26" s="9" t="s">
        <v>16</v>
      </c>
      <c r="R26" s="10">
        <f>+F26+L26</f>
        <v>6361318899</v>
      </c>
      <c r="S26" s="119"/>
      <c r="T26" s="121"/>
      <c r="U26" s="121"/>
      <c r="V26" s="9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6" t="s">
        <v>18</v>
      </c>
      <c r="F29" s="63">
        <f>VLOOKUP(G19,'Indicadores Media 2010'!B10:G43,6,0)</f>
        <v>5766649940</v>
      </c>
      <c r="G29" s="144">
        <f>(+F29/F30)*G22</f>
        <v>0.6053344023740276</v>
      </c>
      <c r="H29" s="120"/>
      <c r="I29" s="120" t="s">
        <v>74</v>
      </c>
      <c r="J29" s="96"/>
      <c r="K29" s="66" t="s">
        <v>18</v>
      </c>
      <c r="L29" s="10">
        <f>VLOOKUP(M19,'Indicadores Media 2010'!B10:G43,6,0)</f>
        <v>594668959</v>
      </c>
      <c r="M29" s="144">
        <f>(+L29/L30)*M22</f>
        <v>0.044134159950717004</v>
      </c>
      <c r="N29" s="120" t="s">
        <v>74</v>
      </c>
      <c r="O29" s="96"/>
      <c r="P29" s="96"/>
      <c r="Q29" s="66" t="s">
        <v>18</v>
      </c>
      <c r="R29" s="10">
        <f>+F29+L29</f>
        <v>6361318899</v>
      </c>
      <c r="S29" s="144">
        <f>+G29+M29</f>
        <v>0.6494685623247446</v>
      </c>
      <c r="T29" s="120" t="s">
        <v>74</v>
      </c>
      <c r="U29" s="96"/>
      <c r="V29" s="96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6" t="s">
        <v>21</v>
      </c>
      <c r="F30" s="63">
        <f>VLOOKUP(G19,'Indicadores Media 2010'!B10:E43,4,0)</f>
        <v>8764276281</v>
      </c>
      <c r="G30" s="145"/>
      <c r="H30" s="121"/>
      <c r="I30" s="121"/>
      <c r="J30" s="97"/>
      <c r="K30" s="66" t="s">
        <v>21</v>
      </c>
      <c r="L30" s="10">
        <f>VLOOKUP(M19,'Indicadores Media 2010'!B10:E43,4,0)</f>
        <v>1077929585</v>
      </c>
      <c r="M30" s="145"/>
      <c r="N30" s="121"/>
      <c r="O30" s="97"/>
      <c r="P30" s="97"/>
      <c r="Q30" s="66" t="s">
        <v>21</v>
      </c>
      <c r="R30" s="10">
        <f>+F30+L30</f>
        <v>9842205866</v>
      </c>
      <c r="S30" s="145"/>
      <c r="T30" s="121"/>
      <c r="U30" s="97"/>
      <c r="V30" s="9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105</v>
      </c>
      <c r="C33" s="100"/>
      <c r="D33" s="101"/>
      <c r="E33" s="7" t="s">
        <v>15</v>
      </c>
      <c r="F33" s="8">
        <f>VLOOKUP(G19,'Indicadores Media 2010'!B10:D43,3,0)</f>
        <v>7938523991</v>
      </c>
      <c r="G33" s="122">
        <f>F33-F34</f>
        <v>2171874051</v>
      </c>
      <c r="H33" s="120" t="s">
        <v>74</v>
      </c>
      <c r="I33" s="96"/>
      <c r="J33" s="96"/>
      <c r="K33" s="7" t="s">
        <v>15</v>
      </c>
      <c r="L33" s="8">
        <f>VLOOKUP(M19,'Indicadores Media 2010'!B10:G43,3,0)</f>
        <v>985790557</v>
      </c>
      <c r="M33" s="122">
        <f>L33-L34</f>
        <v>391121598</v>
      </c>
      <c r="N33" s="120" t="s">
        <v>74</v>
      </c>
      <c r="O33" s="96"/>
      <c r="P33" s="96"/>
      <c r="Q33" s="7" t="s">
        <v>15</v>
      </c>
      <c r="R33" s="8">
        <f>+F33+L33</f>
        <v>8924314548</v>
      </c>
      <c r="S33" s="122">
        <f>R33-R34</f>
        <v>2562995649</v>
      </c>
      <c r="T33" s="120" t="s">
        <v>74</v>
      </c>
      <c r="U33" s="96"/>
      <c r="V33" s="9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2010'!B10:F43,5,0)</f>
        <v>5766649940</v>
      </c>
      <c r="G34" s="161"/>
      <c r="H34" s="125"/>
      <c r="I34" s="124"/>
      <c r="J34" s="124"/>
      <c r="K34" s="72" t="s">
        <v>16</v>
      </c>
      <c r="L34" s="73">
        <f>VLOOKUP(M19,'Indicadores Media 2010'!B10:G43,5,0)</f>
        <v>594668959</v>
      </c>
      <c r="M34" s="123"/>
      <c r="N34" s="125"/>
      <c r="O34" s="124"/>
      <c r="P34" s="124"/>
      <c r="Q34" s="9" t="s">
        <v>16</v>
      </c>
      <c r="R34" s="10">
        <f>+F34+L34</f>
        <v>6361318899</v>
      </c>
      <c r="S34" s="123"/>
      <c r="T34" s="125"/>
      <c r="U34" s="124"/>
      <c r="V34" s="12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3"/>
      <c r="E35" s="15" t="s">
        <v>96</v>
      </c>
      <c r="F35" s="58">
        <f>+D16</f>
        <v>116000000</v>
      </c>
      <c r="G35" s="58">
        <f>+F35*65%</f>
        <v>75400000</v>
      </c>
      <c r="H35" s="174"/>
      <c r="I35" s="97"/>
      <c r="J35" s="97"/>
      <c r="K35" s="15" t="s">
        <v>96</v>
      </c>
      <c r="L35" s="58">
        <f>+D16</f>
        <v>116000000</v>
      </c>
      <c r="M35" s="58">
        <f>+L35*65%</f>
        <v>75400000</v>
      </c>
      <c r="N35" s="121"/>
      <c r="O35" s="97"/>
      <c r="P35" s="97"/>
      <c r="Q35" s="15" t="s">
        <v>96</v>
      </c>
      <c r="R35" s="58">
        <f>+D16</f>
        <v>116000000</v>
      </c>
      <c r="S35" s="58">
        <f>+R35*65%</f>
        <v>75400000</v>
      </c>
      <c r="T35" s="121"/>
      <c r="U35" s="97"/>
      <c r="V35" s="9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5"/>
      <c r="L36" s="5"/>
      <c r="M36" s="162"/>
      <c r="N36" s="5"/>
      <c r="O36" s="5"/>
      <c r="P36" s="5"/>
      <c r="Q36" s="5"/>
      <c r="R36" s="5"/>
      <c r="S36" s="162"/>
      <c r="T36" s="5"/>
      <c r="U36" s="5"/>
      <c r="V36" s="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5"/>
      <c r="L37" s="5"/>
      <c r="M37" s="162"/>
      <c r="N37" s="5"/>
      <c r="O37" s="5"/>
      <c r="P37" s="5"/>
      <c r="Q37" s="5"/>
      <c r="R37" s="5"/>
      <c r="S37" s="162"/>
      <c r="T37" s="5"/>
      <c r="U37" s="5"/>
      <c r="V37" s="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116000000</v>
      </c>
      <c r="G38" s="122">
        <f>+'Indicadores Media 2010'!E25-'Indicadores Media 2010'!G25</f>
        <v>2997626341</v>
      </c>
      <c r="H38" s="157" t="s">
        <v>74</v>
      </c>
      <c r="I38" s="155"/>
      <c r="J38" s="155"/>
      <c r="K38" s="71" t="s">
        <v>96</v>
      </c>
      <c r="L38" s="58">
        <f>+D16</f>
        <v>116000000</v>
      </c>
      <c r="M38" s="122">
        <f>+'Indicadores Media 2010'!E26-'Indicadores Media 2010'!G26</f>
        <v>483260626</v>
      </c>
      <c r="N38" s="157" t="s">
        <v>74</v>
      </c>
      <c r="O38" s="155"/>
      <c r="P38" s="155"/>
      <c r="Q38" s="71" t="s">
        <v>96</v>
      </c>
      <c r="R38" s="58">
        <f>+D16</f>
        <v>116000000</v>
      </c>
      <c r="S38" s="122">
        <f>+G38+M38</f>
        <v>3480886967</v>
      </c>
      <c r="T38" s="157" t="s">
        <v>74</v>
      </c>
      <c r="U38" s="155"/>
      <c r="V38" s="155"/>
      <c r="W38" s="8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87000000</v>
      </c>
      <c r="G39" s="123"/>
      <c r="H39" s="158"/>
      <c r="I39" s="156"/>
      <c r="J39" s="156"/>
      <c r="K39" s="71" t="s">
        <v>94</v>
      </c>
      <c r="L39" s="58">
        <f>+L38*75%</f>
        <v>87000000</v>
      </c>
      <c r="M39" s="123"/>
      <c r="N39" s="158"/>
      <c r="O39" s="156"/>
      <c r="P39" s="156"/>
      <c r="Q39" s="71" t="s">
        <v>94</v>
      </c>
      <c r="R39" s="58">
        <f>+R38*75%</f>
        <v>87000000</v>
      </c>
      <c r="S39" s="123"/>
      <c r="T39" s="158"/>
      <c r="U39" s="156"/>
      <c r="V39" s="156"/>
      <c r="W39" s="8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90">
    <mergeCell ref="V25:V26"/>
    <mergeCell ref="V38:V39"/>
    <mergeCell ref="S29:S30"/>
    <mergeCell ref="T29:T30"/>
    <mergeCell ref="U29:U30"/>
    <mergeCell ref="V29:V30"/>
    <mergeCell ref="T33:T35"/>
    <mergeCell ref="V33:V35"/>
    <mergeCell ref="S33:S34"/>
    <mergeCell ref="M36:M37"/>
    <mergeCell ref="M38:M39"/>
    <mergeCell ref="N38:N39"/>
    <mergeCell ref="O38:O39"/>
    <mergeCell ref="Q18:V18"/>
    <mergeCell ref="Q20:V20"/>
    <mergeCell ref="Q21:V21"/>
    <mergeCell ref="S25:S26"/>
    <mergeCell ref="T25:T26"/>
    <mergeCell ref="U25:U26"/>
    <mergeCell ref="A41:I41"/>
    <mergeCell ref="A45:J45"/>
    <mergeCell ref="A46:J46"/>
    <mergeCell ref="A47:J47"/>
    <mergeCell ref="P38:P39"/>
    <mergeCell ref="U33:U35"/>
    <mergeCell ref="S36:S37"/>
    <mergeCell ref="S38:S39"/>
    <mergeCell ref="T38:T39"/>
    <mergeCell ref="U38:U39"/>
    <mergeCell ref="K18:P18"/>
    <mergeCell ref="K20:P20"/>
    <mergeCell ref="K21:P21"/>
    <mergeCell ref="M25:M26"/>
    <mergeCell ref="N25:N26"/>
    <mergeCell ref="O25:O26"/>
    <mergeCell ref="P25:P26"/>
    <mergeCell ref="N33:N35"/>
    <mergeCell ref="M33:M34"/>
    <mergeCell ref="O33:O35"/>
    <mergeCell ref="P33:P35"/>
    <mergeCell ref="M29:M30"/>
    <mergeCell ref="N29:N30"/>
    <mergeCell ref="O29:O30"/>
    <mergeCell ref="P29:P30"/>
    <mergeCell ref="G38:G39"/>
    <mergeCell ref="H38:H39"/>
    <mergeCell ref="I38:I39"/>
    <mergeCell ref="J38:J39"/>
    <mergeCell ref="B38:D39"/>
    <mergeCell ref="I33:I35"/>
    <mergeCell ref="A33:A35"/>
    <mergeCell ref="B33:D35"/>
    <mergeCell ref="H33:H35"/>
    <mergeCell ref="G33:G34"/>
    <mergeCell ref="J33:J35"/>
    <mergeCell ref="G36:G37"/>
    <mergeCell ref="B37:D37"/>
    <mergeCell ref="A29:A30"/>
    <mergeCell ref="B29:D30"/>
    <mergeCell ref="G29:G30"/>
    <mergeCell ref="A25:A26"/>
    <mergeCell ref="B25:D26"/>
    <mergeCell ref="G25:G26"/>
    <mergeCell ref="E18:J18"/>
    <mergeCell ref="E20:J20"/>
    <mergeCell ref="E21:J21"/>
    <mergeCell ref="B24:D24"/>
    <mergeCell ref="J29:J30"/>
    <mergeCell ref="J25:J26"/>
    <mergeCell ref="B28:D28"/>
    <mergeCell ref="H25:H26"/>
    <mergeCell ref="I25:I26"/>
    <mergeCell ref="A1:J1"/>
    <mergeCell ref="A2:J2"/>
    <mergeCell ref="A3:J3"/>
    <mergeCell ref="A4:J4"/>
    <mergeCell ref="A38:A39"/>
    <mergeCell ref="A18:A22"/>
    <mergeCell ref="H29:H30"/>
    <mergeCell ref="I29:I30"/>
    <mergeCell ref="B32:D32"/>
    <mergeCell ref="B18:D22"/>
    <mergeCell ref="A10:D10"/>
    <mergeCell ref="A11:D11"/>
    <mergeCell ref="A12:D12"/>
    <mergeCell ref="A13:D13"/>
    <mergeCell ref="A5:J5"/>
    <mergeCell ref="A6:J6"/>
    <mergeCell ref="A8:E8"/>
    <mergeCell ref="A9:D9"/>
  </mergeCells>
  <printOptions horizontalCentered="1" verticalCentered="1"/>
  <pageMargins left="1.08" right="0.15748031496062992" top="0.6299212598425197" bottom="0.7480314960629921" header="0" footer="0"/>
  <pageSetup horizontalDpi="600" verticalDpi="600" orientation="landscape" paperSize="5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4.25" thickBot="1">
      <c r="A10" s="129" t="s">
        <v>65</v>
      </c>
      <c r="B10" s="130"/>
      <c r="C10" s="130"/>
      <c r="D10" s="130"/>
      <c r="E10" s="12"/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 thickBot="1">
      <c r="A11" s="131" t="s">
        <v>64</v>
      </c>
      <c r="B11" s="132"/>
      <c r="C11" s="132"/>
      <c r="D11" s="132"/>
      <c r="E11" s="12"/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4.25" thickBot="1">
      <c r="A12" s="131" t="s">
        <v>97</v>
      </c>
      <c r="B12" s="132"/>
      <c r="C12" s="132"/>
      <c r="D12" s="132"/>
      <c r="E12" s="12"/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12"/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38149420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860052064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JUVENIA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0</v>
      </c>
      <c r="G25" s="118" t="e">
        <f>+F25/F26</f>
        <v>#DIV/0!</v>
      </c>
      <c r="H25" s="120"/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0</v>
      </c>
      <c r="G29" s="144" t="e">
        <f>(+F29/F30)</f>
        <v>#DIV/0!</v>
      </c>
      <c r="H29" s="120"/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0</v>
      </c>
      <c r="G33" s="122">
        <f>F33-F34</f>
        <v>0</v>
      </c>
      <c r="H33" s="120"/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0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38149420</v>
      </c>
      <c r="G35" s="67">
        <f>+F35*65%</f>
        <v>24797123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13" t="s">
        <v>96</v>
      </c>
      <c r="F38" s="58">
        <f>+D16</f>
        <v>38149420</v>
      </c>
      <c r="G38" s="122"/>
      <c r="H38" s="157"/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13" t="s">
        <v>94</v>
      </c>
      <c r="F39" s="58">
        <f>+F38*75%</f>
        <v>28612065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4" bottom="0.73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7">
      <selection activeCell="E44" sqref="E44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324191393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860090404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SISTEMAS E INSTRUMENTACION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8162038827.13</v>
      </c>
      <c r="G25" s="118">
        <f>+F25/F26</f>
        <v>2.322669918939283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3514076090.01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3916844090.01</v>
      </c>
      <c r="G29" s="144">
        <f>(+F29/F30)</f>
        <v>0.4421387906861822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8858856477.92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8162038827.13</v>
      </c>
      <c r="G33" s="122">
        <f>F33-F34</f>
        <v>4647962737.12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3514076090.01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96</v>
      </c>
      <c r="F35" s="58">
        <f>+D16</f>
        <v>324191393</v>
      </c>
      <c r="G35" s="58">
        <f>+F35*65%</f>
        <v>210724405.45000002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79</v>
      </c>
      <c r="F38" s="58">
        <f>+D16</f>
        <v>324191393</v>
      </c>
      <c r="G38" s="122">
        <f>+'Indicadores Media 2010'!E28-'Indicadores Media 2010'!G28</f>
        <v>4942012387.91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243143544.75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5" bottom="0.52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2">
      <selection activeCell="G38" sqref="G38:G3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3.710937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1270031220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890935513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ANALYTICA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7009061376</v>
      </c>
      <c r="G25" s="118">
        <f>+F25/F26</f>
        <v>2.1409875340862947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3273751605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0"/>
      <c r="E29" s="64" t="s">
        <v>18</v>
      </c>
      <c r="F29" s="63">
        <f>VLOOKUP(G19,'Indicadores Media 2010'!B10:G33,6,0)</f>
        <v>5517193065</v>
      </c>
      <c r="G29" s="144">
        <f>(+F29/F30)</f>
        <v>0.4786577112083894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3"/>
      <c r="E30" s="65" t="s">
        <v>21</v>
      </c>
      <c r="F30" s="63">
        <f>VLOOKUP(G19,'Indicadores Media 2010'!B10:E33,4,0)</f>
        <v>11526385005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114" t="s">
        <v>19</v>
      </c>
      <c r="C32" s="114"/>
      <c r="D32" s="114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7009061376</v>
      </c>
      <c r="G33" s="122">
        <f>F33-F34</f>
        <v>3735309771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3273751605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93</v>
      </c>
      <c r="F35" s="10">
        <f>+D16</f>
        <v>1270031220</v>
      </c>
      <c r="G35" s="10">
        <f>+F35*65%</f>
        <v>825520293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22" customFormat="1" ht="13.5">
      <c r="A36" s="32"/>
      <c r="E36" s="33"/>
      <c r="F36" s="34"/>
      <c r="G36" s="62"/>
      <c r="H36" s="35"/>
      <c r="I36" s="36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s="22" customFormat="1" ht="14.25" thickBot="1">
      <c r="A37" s="57"/>
      <c r="B37" s="114" t="s">
        <v>20</v>
      </c>
      <c r="C37" s="114"/>
      <c r="D37" s="114"/>
      <c r="E37" s="57"/>
      <c r="F37" s="57"/>
      <c r="G37" s="62"/>
      <c r="H37" s="57"/>
      <c r="I37" s="57"/>
      <c r="J37" s="5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14.25" thickBot="1">
      <c r="A38" s="141"/>
      <c r="B38" s="38" t="s">
        <v>75</v>
      </c>
      <c r="C38" s="39"/>
      <c r="D38" s="40"/>
      <c r="E38" s="71" t="s">
        <v>78</v>
      </c>
      <c r="F38" s="58">
        <f>+D16</f>
        <v>1270031220</v>
      </c>
      <c r="G38" s="153">
        <f>+'Indicadores Media 2010'!E10-'Indicadores Media 2010'!G10</f>
        <v>6009191940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59"/>
      <c r="C39" s="60"/>
      <c r="D39" s="61"/>
      <c r="E39" s="71" t="s">
        <v>94</v>
      </c>
      <c r="F39" s="58">
        <f>+F38*75%</f>
        <v>952523415</v>
      </c>
      <c r="G39" s="154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48">
    <mergeCell ref="A47:J47"/>
    <mergeCell ref="A41:I41"/>
    <mergeCell ref="G38:G39"/>
    <mergeCell ref="I38:I39"/>
    <mergeCell ref="J38:J39"/>
    <mergeCell ref="H38:H39"/>
    <mergeCell ref="A45:J45"/>
    <mergeCell ref="A46:J46"/>
    <mergeCell ref="I29:I30"/>
    <mergeCell ref="J29:J30"/>
    <mergeCell ref="B29:D30"/>
    <mergeCell ref="A38:A39"/>
    <mergeCell ref="A29:A30"/>
    <mergeCell ref="A33:A35"/>
    <mergeCell ref="G29:G30"/>
    <mergeCell ref="B32:D32"/>
    <mergeCell ref="B33:D35"/>
    <mergeCell ref="H29:H30"/>
    <mergeCell ref="E20:J20"/>
    <mergeCell ref="A4:J4"/>
    <mergeCell ref="A5:J5"/>
    <mergeCell ref="A6:J6"/>
    <mergeCell ref="A8:E8"/>
    <mergeCell ref="A18:A22"/>
    <mergeCell ref="A11:D11"/>
    <mergeCell ref="A9:D9"/>
    <mergeCell ref="A10:D10"/>
    <mergeCell ref="A12:D12"/>
    <mergeCell ref="A13:D13"/>
    <mergeCell ref="A1:J1"/>
    <mergeCell ref="A2:J2"/>
    <mergeCell ref="A3:J3"/>
    <mergeCell ref="B18:D22"/>
    <mergeCell ref="B37:D37"/>
    <mergeCell ref="E18:J18"/>
    <mergeCell ref="G25:G26"/>
    <mergeCell ref="H25:H26"/>
    <mergeCell ref="G33:G34"/>
    <mergeCell ref="J33:J35"/>
    <mergeCell ref="E21:J21"/>
    <mergeCell ref="H33:H35"/>
    <mergeCell ref="I33:I35"/>
    <mergeCell ref="A25:A26"/>
    <mergeCell ref="J25:J26"/>
    <mergeCell ref="B28:D28"/>
    <mergeCell ref="B24:D24"/>
    <mergeCell ref="I25:I26"/>
    <mergeCell ref="B25:D26"/>
  </mergeCells>
  <printOptions horizontalCentered="1" verticalCentered="1"/>
  <pageMargins left="0.7480314960629921" right="0.7480314960629921" top="0.3937007874015748" bottom="0.2362204724409449" header="0" footer="0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3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273133600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800198583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BIOMOL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4590739412</v>
      </c>
      <c r="G25" s="118">
        <f>+F25/F26</f>
        <v>2.264996988789151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2026819212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2689322224</v>
      </c>
      <c r="G29" s="144">
        <f>(+F29/F30)</f>
        <v>0.34162401055877123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7872169815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4590739412</v>
      </c>
      <c r="G33" s="122">
        <f>F33-F34</f>
        <v>2563920200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2026819212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3"/>
      <c r="E35" s="15" t="s">
        <v>96</v>
      </c>
      <c r="F35" s="58">
        <f>+D16</f>
        <v>273133600</v>
      </c>
      <c r="G35" s="58">
        <f>+F35*65%</f>
        <v>177536840</v>
      </c>
      <c r="H35" s="174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71" t="s">
        <v>79</v>
      </c>
      <c r="F38" s="58">
        <f>+D16</f>
        <v>273133600</v>
      </c>
      <c r="G38" s="122">
        <f>+'Indicadores Media 2010'!E29-'Indicadores Media 2010'!G29</f>
        <v>5182847591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1" t="s">
        <v>94</v>
      </c>
      <c r="F39" s="58">
        <f>+F38*75%</f>
        <v>204850200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1" bottom="0.63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6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424063037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860502528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CASA CIENTIFICA BLANCO Y CIA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3647374097</v>
      </c>
      <c r="G25" s="118">
        <f>+F25/F26</f>
        <v>2.612597515085372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1396071946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1565155238</v>
      </c>
      <c r="G29" s="144">
        <f>(+F29/F30)</f>
        <v>0.40003048967672006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3912589861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3647374097</v>
      </c>
      <c r="G33" s="122">
        <f>F33-F34</f>
        <v>2251302151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3.5">
      <c r="A34" s="143"/>
      <c r="B34" s="146"/>
      <c r="C34" s="147"/>
      <c r="D34" s="148"/>
      <c r="E34" s="72" t="s">
        <v>16</v>
      </c>
      <c r="F34" s="73">
        <f>VLOOKUP(G19,'Indicadores Media 2010'!B10:F33,5,0)</f>
        <v>1396071946</v>
      </c>
      <c r="G34" s="175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424063037</v>
      </c>
      <c r="G35" s="10">
        <f>+F35*65%</f>
        <v>275640974.05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71" t="s">
        <v>96</v>
      </c>
      <c r="F38" s="58">
        <f>+D16</f>
        <v>424063037</v>
      </c>
      <c r="G38" s="122">
        <f>+'Indicadores Media 2010'!E30-'Indicadores Media 2010'!G30</f>
        <v>2347434623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1" t="s">
        <v>94</v>
      </c>
      <c r="F39" s="58">
        <f>+F38*75%</f>
        <v>318047277.75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8" bottom="0.5" header="0" footer="0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7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98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512579195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830101830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ADVANCED INSTRUMENTS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607955318</v>
      </c>
      <c r="G25" s="118">
        <f>+F25/F26</f>
        <v>2.976920418703879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204222899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249581934</v>
      </c>
      <c r="G29" s="144">
        <f>(+F29/F30)</f>
        <v>0.2780513919080426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897610806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67</v>
      </c>
      <c r="C33" s="100"/>
      <c r="D33" s="101"/>
      <c r="E33" s="7" t="s">
        <v>15</v>
      </c>
      <c r="F33" s="8">
        <f>VLOOKUP(G19,'Indicadores Media 2010'!B10:E33,3,0)</f>
        <v>607955318</v>
      </c>
      <c r="G33" s="122">
        <f>F33-F34</f>
        <v>403732419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204222899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512579195</v>
      </c>
      <c r="G35" s="58">
        <f>+F35*65%</f>
        <v>333176476.75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68</v>
      </c>
      <c r="C38" s="100"/>
      <c r="D38" s="101"/>
      <c r="E38" s="71" t="s">
        <v>96</v>
      </c>
      <c r="F38" s="58">
        <f>+D16</f>
        <v>512579195</v>
      </c>
      <c r="G38" s="122">
        <f>+'Indicadores Media 2010'!E31-'Indicadores Media 2010'!G31</f>
        <v>648028872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384434396.25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7" bottom="0.52" header="0" footer="0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82</v>
      </c>
      <c r="B16" s="27"/>
      <c r="C16" s="27"/>
      <c r="D16" s="28">
        <v>300223407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891411709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IMPOINTER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3750151000</v>
      </c>
      <c r="G25" s="118">
        <f>+F25/F26</f>
        <v>1.486827044572487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2522251000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2522251000</v>
      </c>
      <c r="G29" s="144">
        <f>(+F29/F30)</f>
        <v>0.5631726642382542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4478646000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3750151000</v>
      </c>
      <c r="G33" s="122">
        <f>F33-F34</f>
        <v>1227900000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2522251000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3"/>
      <c r="E35" s="15" t="s">
        <v>79</v>
      </c>
      <c r="F35" s="58">
        <f>+D16</f>
        <v>300223407</v>
      </c>
      <c r="G35" s="58">
        <f>+F35*65%</f>
        <v>195145214.55</v>
      </c>
      <c r="H35" s="174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300223407</v>
      </c>
      <c r="G38" s="122">
        <f>+'Indicadores Media 2010'!E32-'Indicadores Media 2010'!G32</f>
        <v>1956395000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225167555.25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3" bottom="0.66" header="0" footer="0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5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197123208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890943055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SUCONEL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2725246000</v>
      </c>
      <c r="G25" s="118">
        <f>+F25/F26</f>
        <v>3.376180317592462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807198000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955596000</v>
      </c>
      <c r="G29" s="144">
        <f>(+F29/F30)</f>
        <v>0.3188083005271235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2997400000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2725246000</v>
      </c>
      <c r="G33" s="122">
        <f>F33-F34</f>
        <v>1918048000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807198000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79</v>
      </c>
      <c r="F35" s="58">
        <f>+D16</f>
        <v>197123208</v>
      </c>
      <c r="G35" s="58">
        <f>+F35*65%</f>
        <v>128130085.2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13" t="s">
        <v>106</v>
      </c>
      <c r="F38" s="58">
        <f>+D16</f>
        <v>197123208</v>
      </c>
      <c r="G38" s="122">
        <f>+'Indicadores Media 2010'!E33-'Indicadores Media 2010'!G33</f>
        <v>2041804000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customHeight="1" thickBot="1">
      <c r="A39" s="142"/>
      <c r="B39" s="102"/>
      <c r="C39" s="103"/>
      <c r="D39" s="104"/>
      <c r="E39" s="13" t="s">
        <v>94</v>
      </c>
      <c r="F39" s="58">
        <f>+F38*75%</f>
        <v>147842406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4" bottom="0.6" header="0" footer="0"/>
  <pageSetup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6">
      <selection activeCell="A45" sqref="A45:J45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4.1406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257713720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860003168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IMOCOM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61908233245</v>
      </c>
      <c r="G25" s="118">
        <f>+F25/F26</f>
        <v>1.6850631215143983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36739414954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53192762954</v>
      </c>
      <c r="G29" s="144">
        <f>(+F29/F30)</f>
        <v>0.49785891001999305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106843047063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2010'!B10:G43,4,0)</f>
        <v>106843047063</v>
      </c>
      <c r="G33" s="122">
        <f>F33-F34</f>
        <v>70103632109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2010'!B10:G43,5,0)</f>
        <v>36739414954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3"/>
      <c r="E35" s="15" t="s">
        <v>106</v>
      </c>
      <c r="F35" s="58">
        <f>+D16</f>
        <v>257713720</v>
      </c>
      <c r="G35" s="58">
        <f>+F35*65%</f>
        <v>167513918</v>
      </c>
      <c r="H35" s="174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13" t="s">
        <v>79</v>
      </c>
      <c r="F38" s="58">
        <f>+D16</f>
        <v>257713720</v>
      </c>
      <c r="G38" s="122">
        <f>+'Indicadores Media 2010'!E34-'Indicadores Media 2010'!G34</f>
        <v>53650284109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13" t="s">
        <v>94</v>
      </c>
      <c r="F39" s="58">
        <f>+F38*75%</f>
        <v>193285290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5" bottom="0.33" header="0" footer="0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108262800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52">
        <v>800019976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DISSMAN INGENIERIA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1704399067.74</v>
      </c>
      <c r="G25" s="118">
        <f>+F25/F26</f>
        <v>2.15987966709509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789117603.96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1154256104.65</v>
      </c>
      <c r="G29" s="144">
        <f>(+F29/F30)</f>
        <v>0.6772217413733518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2010'!B10:G43,3,0)</f>
        <v>1704399067.74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1704399067.74</v>
      </c>
      <c r="G33" s="122">
        <f>F33-F34</f>
        <v>915281463.78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789117603.96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108262800</v>
      </c>
      <c r="G35" s="58">
        <f>+F35*65%</f>
        <v>70370820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71" t="s">
        <v>96</v>
      </c>
      <c r="F38" s="58">
        <f>+D16</f>
        <v>108262800</v>
      </c>
      <c r="G38" s="122">
        <f>+'Indicadores Media 2010'!E35-'Indicadores Media 2010'!G35</f>
        <v>1034463288.4899998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1" t="s">
        <v>94</v>
      </c>
      <c r="F39" s="58">
        <f>+F38*75%</f>
        <v>81197100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8" bottom="0.48" header="0" footer="0"/>
  <pageSetup horizontalDpi="600" verticalDpi="600" orientation="landscape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7">
      <selection activeCell="J37" sqref="J37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108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108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269932000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830047092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MAVE INSTRUMENTACION Y QUIMICOS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180233078.22</v>
      </c>
      <c r="G25" s="118">
        <f>+F25/F26</f>
        <v>1.5864505483472224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113607750.59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114810630.59</v>
      </c>
      <c r="G29" s="144">
        <f>(+F29/F30)</f>
        <v>0.6047427019914088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189850378.04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180233078.22</v>
      </c>
      <c r="G33" s="122">
        <f>F33-F34</f>
        <v>66625327.629999995</v>
      </c>
      <c r="H33" s="120"/>
      <c r="I33" s="120" t="s">
        <v>74</v>
      </c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113607750.59</v>
      </c>
      <c r="G34" s="123"/>
      <c r="H34" s="125"/>
      <c r="I34" s="125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79</v>
      </c>
      <c r="F35" s="10">
        <f>+D16</f>
        <v>269932000</v>
      </c>
      <c r="G35" s="10">
        <f>+F35*65%</f>
        <v>175455800</v>
      </c>
      <c r="H35" s="121"/>
      <c r="I35" s="121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103</v>
      </c>
      <c r="C38" s="100"/>
      <c r="D38" s="101"/>
      <c r="E38" s="71" t="s">
        <v>95</v>
      </c>
      <c r="F38" s="58">
        <f>+D16</f>
        <v>269932000</v>
      </c>
      <c r="G38" s="122">
        <f>+'Indicadores Media 2010'!E36-'Indicadores Media 2010'!G36</f>
        <v>75039747.44999999</v>
      </c>
      <c r="H38" s="157"/>
      <c r="I38" s="157" t="s">
        <v>74</v>
      </c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202449000</v>
      </c>
      <c r="G39" s="123"/>
      <c r="H39" s="158"/>
      <c r="I39" s="158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108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" bottom="0.71" header="0" footer="0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6">
      <selection activeCell="A45" sqref="A45:J45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66512766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830034233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AM ASESORIA Y MANTENIMIENTO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1580453960</v>
      </c>
      <c r="G25" s="118">
        <f>+F25/F26</f>
        <v>3.723665089907927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424435045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561657045</v>
      </c>
      <c r="G29" s="144">
        <f>(+F29/F30)</f>
        <v>0.2753049001021926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2040127309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1580453960</v>
      </c>
      <c r="G33" s="122">
        <f>F33-F34</f>
        <v>1156018915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2010'!B10:G43,5,0)</f>
        <v>424435045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79</v>
      </c>
      <c r="F35" s="58">
        <f>+D16</f>
        <v>66512766</v>
      </c>
      <c r="G35" s="58">
        <f>+F35*65%</f>
        <v>43233297.9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66512766</v>
      </c>
      <c r="G38" s="122">
        <f>+'Indicadores Media 2010'!E37-'Indicadores Media 2010'!G37</f>
        <v>1478470264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49884574.5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6" bottom="0.57" header="0" footer="0"/>
  <pageSetup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4.85156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530987113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860000580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MERCK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104180575000</v>
      </c>
      <c r="G25" s="118">
        <f>+F25/F26</f>
        <v>2.030010375248211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51320218000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56590760000</v>
      </c>
      <c r="G29" s="144">
        <f>(+F29/F30)</f>
        <v>0.3482831300108878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162484930000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163" t="s">
        <v>19</v>
      </c>
      <c r="C32" s="163"/>
      <c r="D32" s="163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4.25" thickBot="1">
      <c r="A33" s="94">
        <v>3</v>
      </c>
      <c r="B33" s="99" t="s">
        <v>101</v>
      </c>
      <c r="C33" s="100"/>
      <c r="D33" s="101"/>
      <c r="E33" s="15" t="s">
        <v>15</v>
      </c>
      <c r="F33" s="58">
        <f>VLOOKUP(G19,'Indicadores Media 2010'!B10:G43,3,0)</f>
        <v>104180575000</v>
      </c>
      <c r="G33" s="122">
        <f>F33-F34</f>
        <v>52860357000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51320218000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79</v>
      </c>
      <c r="F35" s="10">
        <f>+D16</f>
        <v>530987113</v>
      </c>
      <c r="G35" s="10">
        <f>+F35*65%</f>
        <v>345141623.45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13" t="s">
        <v>79</v>
      </c>
      <c r="F38" s="58">
        <f>+D16</f>
        <v>530987113</v>
      </c>
      <c r="G38" s="122">
        <f>+'Indicadores Media 2010'!E38-'Indicadores Media 2010'!G38</f>
        <v>105894170000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13" t="s">
        <v>94</v>
      </c>
      <c r="F39" s="58">
        <f>+F38*75%</f>
        <v>398240334.75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H38:H39"/>
    <mergeCell ref="A38:A39"/>
    <mergeCell ref="G36:G37"/>
    <mergeCell ref="B37:D37"/>
    <mergeCell ref="G38:G39"/>
    <mergeCell ref="B38:D39"/>
    <mergeCell ref="A46:J46"/>
    <mergeCell ref="A47:J47"/>
    <mergeCell ref="I38:I39"/>
    <mergeCell ref="J38:J39"/>
    <mergeCell ref="A41:I41"/>
    <mergeCell ref="A45:J45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58" bottom="0.74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9">
      <selection activeCell="G38" sqref="G38:G3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6" width="15.5742187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77</v>
      </c>
      <c r="B16" s="27"/>
      <c r="C16" s="27"/>
      <c r="D16" s="28">
        <v>164655040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860049903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ARISMA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5903888016</v>
      </c>
      <c r="G25" s="118">
        <f>+F25/F26</f>
        <v>3.5769657755948137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1650529635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3478836151</v>
      </c>
      <c r="G29" s="144">
        <f>(+F29/F30)</f>
        <v>0.34234784149920955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10161700263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5903888016</v>
      </c>
      <c r="G33" s="122">
        <f>F33-F34</f>
        <v>4253358381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1650529635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96</v>
      </c>
      <c r="F35" s="58">
        <f>+D16</f>
        <v>164655040</v>
      </c>
      <c r="G35" s="58">
        <f>+F35*65%</f>
        <v>107025776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79</v>
      </c>
      <c r="F38" s="58">
        <f>+D16</f>
        <v>164655040</v>
      </c>
      <c r="G38" s="164">
        <f>+'Indicadores Media 2010'!E11-'Indicadores Media 2010'!G11</f>
        <v>6682864112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123491280</v>
      </c>
      <c r="G39" s="165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55" bottom="0.69" header="0" footer="0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A45" sqref="A45:J45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128871192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830122576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METRICOM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1529752144</v>
      </c>
      <c r="G25" s="118">
        <f>+F25/F26</f>
        <v>3.074330616316862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497588690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497588690</v>
      </c>
      <c r="G29" s="144">
        <f>(+F29/F30)</f>
        <v>0.27734964390534045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1794084474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1529752144</v>
      </c>
      <c r="G33" s="122">
        <f>F33-F34</f>
        <v>1032163454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497588690</v>
      </c>
      <c r="G34" s="175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79</v>
      </c>
      <c r="F35" s="10">
        <f>+D16</f>
        <v>128871192</v>
      </c>
      <c r="G35" s="10">
        <f>+F35*65%</f>
        <v>83766274.8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104</v>
      </c>
      <c r="C38" s="100"/>
      <c r="D38" s="101"/>
      <c r="E38" s="13" t="s">
        <v>79</v>
      </c>
      <c r="F38" s="58">
        <f>+D16</f>
        <v>128871192</v>
      </c>
      <c r="G38" s="122">
        <f>+'Indicadores Media 2010'!E39-'Indicadores Media 2010'!G39</f>
        <v>1296495784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13" t="s">
        <v>94</v>
      </c>
      <c r="F39" s="58">
        <f>+F38*75%</f>
        <v>96653394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55" bottom="0.78" header="0" footer="0"/>
  <pageSetup horizontalDpi="600" verticalDpi="600" orientation="landscape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3">
      <selection activeCell="G42" sqref="G42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137170000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800066243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GAMATECNICA INGENIERIA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319551583</v>
      </c>
      <c r="G25" s="118">
        <f>+F25/F26</f>
        <v>12.98990174796748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24600000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24600000</v>
      </c>
      <c r="G29" s="144">
        <f>(+F29/F30)</f>
        <v>0.0478546153442128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514057000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319551583</v>
      </c>
      <c r="G33" s="122">
        <f>F33-F34</f>
        <v>294951583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24600000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79</v>
      </c>
      <c r="F35" s="10">
        <f>+D16</f>
        <v>137170000</v>
      </c>
      <c r="G35" s="58">
        <f>+F35*65%</f>
        <v>89160500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79</v>
      </c>
      <c r="F38" s="58">
        <f>+D16</f>
        <v>137170000</v>
      </c>
      <c r="G38" s="122">
        <f>+'Indicadores Media 2010'!E40-'Indicadores Media 2010'!G40</f>
        <v>489457000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102877500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1" bottom="0.61" header="0" footer="0"/>
  <pageSetup horizontalDpi="600" verticalDpi="600" orientation="landscape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7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384667600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830051298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GEOSISTEM ING SAS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4490752000</v>
      </c>
      <c r="G25" s="118">
        <f>+F25/F26</f>
        <v>1.9445779824896043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2309371000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2310736000</v>
      </c>
      <c r="G29" s="144">
        <f>(+F29/F30)</f>
        <v>0.4847552136544146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4766810000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4490752000</v>
      </c>
      <c r="G33" s="122">
        <f>F33-F34</f>
        <v>2181381000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2010'!B10:G43,5,0)</f>
        <v>2309371000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79</v>
      </c>
      <c r="F35" s="58">
        <f>+D16</f>
        <v>384667600</v>
      </c>
      <c r="G35" s="58">
        <f>+F35*65%</f>
        <v>250033940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79</v>
      </c>
      <c r="F38" s="58">
        <f>+D16</f>
        <v>384667600</v>
      </c>
      <c r="G38" s="122">
        <f>+'Indicadores Media 2010'!E41-'Indicadores Media 2010'!G41</f>
        <v>2456074000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288500700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A38:A39"/>
    <mergeCell ref="G38:G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4" bottom="0.47" header="0" footer="0"/>
  <pageSetup horizontalDpi="600" verticalDpi="6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6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399545760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800035478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TOPOEQUIPOS S.A.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1344092825</v>
      </c>
      <c r="G25" s="118">
        <f>+F25/F26</f>
        <v>3.1521681226907026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426402645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1039008617</v>
      </c>
      <c r="G29" s="144">
        <f>(+F29/F30)</f>
        <v>0.5482253797473342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1895221665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1344092825</v>
      </c>
      <c r="G33" s="122">
        <f>F33-F34</f>
        <v>917690180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426402645</v>
      </c>
      <c r="G34" s="175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79</v>
      </c>
      <c r="F35" s="10">
        <f>+D16</f>
        <v>399545760</v>
      </c>
      <c r="G35" s="10">
        <f>+F35*65%</f>
        <v>259704744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104</v>
      </c>
      <c r="C38" s="100"/>
      <c r="D38" s="101"/>
      <c r="E38" s="71" t="s">
        <v>96</v>
      </c>
      <c r="F38" s="58">
        <f>+D16</f>
        <v>399545760</v>
      </c>
      <c r="G38" s="122">
        <f>+'Indicadores Media 2010'!E42-'Indicadores Media 2010'!G42</f>
        <v>856213048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299659320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9" bottom="0.5" header="0" footer="0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I181"/>
  <sheetViews>
    <sheetView zoomScale="120" zoomScaleNormal="120" zoomScalePageLayoutView="0" workbookViewId="0" topLeftCell="A19">
      <selection activeCell="K49" sqref="K4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607145588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830065750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ELECTROEQUIPOS COLOMBIA SAS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2010'!B10:G43,3,0)</f>
        <v>3154246811</v>
      </c>
      <c r="G25" s="118">
        <f>+F25/F26</f>
        <v>5.47382170690692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2010'!B10:G43,5,0)</f>
        <v>576242154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2024330794</v>
      </c>
      <c r="G29" s="144">
        <f>(+F29/F30)</f>
        <v>0.5383984882294052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2010'!B10:G43,4,0)</f>
        <v>3759911735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3154246811</v>
      </c>
      <c r="G33" s="122">
        <f>F33-F34</f>
        <v>2578004657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2010'!B10:G43,5,0)</f>
        <v>576242154</v>
      </c>
      <c r="G34" s="175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79</v>
      </c>
      <c r="F35" s="10">
        <f>+D16</f>
        <v>607145588</v>
      </c>
      <c r="G35" s="10">
        <f>+F35*65%</f>
        <v>394644632.2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79</v>
      </c>
      <c r="F38" s="58">
        <f>+D16</f>
        <v>607145588</v>
      </c>
      <c r="G38" s="122">
        <f>+'Indicadores Media 2010'!E43-'Indicadores Media 2010'!G43</f>
        <v>1735580941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455359191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A38:A39"/>
    <mergeCell ref="G38:G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9" bottom="0.61" header="0" footer="0"/>
  <pageSetup horizontalDpi="600" verticalDpi="600" orientation="landscape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6">
      <selection activeCell="J38" sqref="J38:J3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80</v>
      </c>
      <c r="B16" s="27"/>
      <c r="C16" s="27"/>
      <c r="D16" s="28">
        <v>958973600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830023974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MICROSCOPIOS Y EQUIPOS ESPECIALES SAS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1117058259</v>
      </c>
      <c r="G25" s="118">
        <f>+F25/F26</f>
        <v>2.568454973032859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434914480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27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27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546588185</v>
      </c>
      <c r="G29" s="144">
        <f>(+F29/F30)</f>
        <v>0.4140875968261101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1319982026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27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27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1117058259</v>
      </c>
      <c r="G33" s="122">
        <f>F33-F34</f>
        <v>682143779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434914480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96</v>
      </c>
      <c r="F35" s="58">
        <f>+D16</f>
        <v>958973600</v>
      </c>
      <c r="G35" s="58">
        <f>+F35*65%</f>
        <v>623332840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27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98" t="s">
        <v>20</v>
      </c>
      <c r="C37" s="98"/>
      <c r="D37" s="98"/>
      <c r="E37" s="5"/>
      <c r="F37" s="5"/>
      <c r="G37" s="162"/>
      <c r="H37" s="27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3.5">
      <c r="A38" s="94">
        <v>4</v>
      </c>
      <c r="B38" s="99" t="s">
        <v>102</v>
      </c>
      <c r="C38" s="100"/>
      <c r="D38" s="100"/>
      <c r="E38" s="74" t="s">
        <v>96</v>
      </c>
      <c r="F38" s="8">
        <f>+D16</f>
        <v>958973600</v>
      </c>
      <c r="G38" s="166">
        <f>+'Indicadores Media 2010'!E12-'Indicadores Media 2010'!G12</f>
        <v>773393841</v>
      </c>
      <c r="H38" s="172" t="s">
        <v>74</v>
      </c>
      <c r="I38" s="168"/>
      <c r="J38" s="17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3"/>
      <c r="E39" s="75" t="s">
        <v>94</v>
      </c>
      <c r="F39" s="10">
        <f>+F38*75%</f>
        <v>719230200</v>
      </c>
      <c r="G39" s="167"/>
      <c r="H39" s="173"/>
      <c r="I39" s="169"/>
      <c r="J39" s="17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3" bottom="0.73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3">
      <selection activeCell="G38" sqref="G38:G39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82</v>
      </c>
      <c r="B16" s="27"/>
      <c r="C16" s="27"/>
      <c r="D16" s="28">
        <v>94410107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830010484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2010'!B10:C43,2,0)</f>
        <v>DISTRIQUIMICOS ALDIR SAS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2010'!B10:D43,3,0)</f>
        <v>4266570684</v>
      </c>
      <c r="G25" s="118">
        <f>+F25/F26</f>
        <v>2.347100195243099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2010'!B10:F43,5,0)</f>
        <v>1817805091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2010'!B10:G43,6,0)</f>
        <v>2840027314</v>
      </c>
      <c r="G29" s="144">
        <f>(+F29/F30)</f>
        <v>0.5291312910385741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2010'!B10:E43,4,0)</f>
        <v>5367339566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2010'!B10:G43,3,0)</f>
        <v>4266570684</v>
      </c>
      <c r="G33" s="122">
        <f>F33-F34</f>
        <v>2448765593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2010'!B10:G43,5,0)</f>
        <v>1817805091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15" t="s">
        <v>96</v>
      </c>
      <c r="F35" s="58">
        <f>+D16</f>
        <v>94410107</v>
      </c>
      <c r="G35" s="58">
        <f>+F35*65%</f>
        <v>61366569.550000004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98" t="s">
        <v>20</v>
      </c>
      <c r="C37" s="98"/>
      <c r="D37" s="98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3.5">
      <c r="A38" s="141">
        <v>4</v>
      </c>
      <c r="B38" s="99" t="s">
        <v>102</v>
      </c>
      <c r="C38" s="100"/>
      <c r="D38" s="101"/>
      <c r="E38" s="76" t="s">
        <v>96</v>
      </c>
      <c r="F38" s="77">
        <f>+D16</f>
        <v>94410107</v>
      </c>
      <c r="G38" s="122">
        <f>+'Indicadores Media 2010'!E13-'Indicadores Media 2010'!G13</f>
        <v>2527312252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8" t="s">
        <v>94</v>
      </c>
      <c r="F39" s="79">
        <f>+F38*75%</f>
        <v>70807580.25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1" bottom="0.7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3">
      <selection activeCell="J41" sqref="J41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83</v>
      </c>
      <c r="B16" s="27"/>
      <c r="C16" s="27"/>
      <c r="D16" s="28">
        <v>321506760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860065280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QUIMIREL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3073760610</v>
      </c>
      <c r="G25" s="118">
        <f>+F25/F26</f>
        <v>1.460990299102579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2103888446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2237221798</v>
      </c>
      <c r="G29" s="144">
        <f>(+F29/F30)</f>
        <v>0.4684017290644771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4776288513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3073760610</v>
      </c>
      <c r="G33" s="122">
        <f>F33-F34</f>
        <v>969872164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2103888446</v>
      </c>
      <c r="G34" s="161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321506760</v>
      </c>
      <c r="G35" s="58">
        <f>+F35*65%</f>
        <v>208979394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98" t="s">
        <v>20</v>
      </c>
      <c r="C37" s="98"/>
      <c r="D37" s="98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141">
        <v>4</v>
      </c>
      <c r="B38" s="99" t="s">
        <v>102</v>
      </c>
      <c r="C38" s="100"/>
      <c r="D38" s="101"/>
      <c r="E38" s="71" t="s">
        <v>96</v>
      </c>
      <c r="F38" s="58">
        <f>+D16</f>
        <v>321506760</v>
      </c>
      <c r="G38" s="122">
        <f>+'Indicadores Media 2010'!E14-'Indicadores Media 2010'!G14</f>
        <v>2539066715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142"/>
      <c r="B39" s="102"/>
      <c r="C39" s="103"/>
      <c r="D39" s="104"/>
      <c r="E39" s="71" t="s">
        <v>94</v>
      </c>
      <c r="F39" s="58">
        <f>+F38*75%</f>
        <v>241130070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H38:H39"/>
    <mergeCell ref="A38:A39"/>
    <mergeCell ref="G36:G37"/>
    <mergeCell ref="B37:D37"/>
    <mergeCell ref="G38:G39"/>
    <mergeCell ref="B38:D39"/>
    <mergeCell ref="A46:J46"/>
    <mergeCell ref="A47:J47"/>
    <mergeCell ref="I38:I39"/>
    <mergeCell ref="J38:J39"/>
    <mergeCell ref="A41:I41"/>
    <mergeCell ref="A45:J45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4" bottom="0.69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6">
      <selection activeCell="L35" sqref="L35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91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100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76</v>
      </c>
      <c r="B16" s="27"/>
      <c r="C16" s="27"/>
      <c r="D16" s="28">
        <v>93011970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900013343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HIGN TEC ENVIROMENTAL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795570507.82</v>
      </c>
      <c r="G25" s="118">
        <f>+F25/F26</f>
        <v>1.8498331088898263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430076910.18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576237097.18</v>
      </c>
      <c r="G29" s="144">
        <f>(+F29/F30)</f>
        <v>0.640238321389841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900035311.74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795570507.82</v>
      </c>
      <c r="G33" s="122">
        <f>F33-F34</f>
        <v>365493597.64000005</v>
      </c>
      <c r="H33" s="120" t="s">
        <v>74</v>
      </c>
      <c r="I33" s="96"/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430076910.18</v>
      </c>
      <c r="G34" s="123"/>
      <c r="H34" s="125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93011970</v>
      </c>
      <c r="G35" s="10">
        <f>+F35*65%</f>
        <v>60457780.5</v>
      </c>
      <c r="H35" s="121"/>
      <c r="I35" s="97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93011970</v>
      </c>
      <c r="G38" s="122">
        <f>+'Indicadores Media 2010'!E15-'Indicadores Media 2010'!G15</f>
        <v>323798214.56000006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69758977.5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91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47:J47"/>
    <mergeCell ref="I38:I39"/>
    <mergeCell ref="J38:J39"/>
    <mergeCell ref="A41:I41"/>
    <mergeCell ref="A45:J45"/>
    <mergeCell ref="H38:H39"/>
    <mergeCell ref="G36:G37"/>
    <mergeCell ref="B37:D37"/>
    <mergeCell ref="G38:G39"/>
    <mergeCell ref="A38:A39"/>
    <mergeCell ref="B38:D39"/>
    <mergeCell ref="A46:J46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85" bottom="0.52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7">
      <selection activeCell="E14" sqref="E14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108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108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80</v>
      </c>
      <c r="B16" s="27"/>
      <c r="C16" s="27"/>
      <c r="D16" s="28">
        <v>678220600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900025724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BIO SOLUTIONS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416872411</v>
      </c>
      <c r="G25" s="118">
        <f>+F25/F26</f>
        <v>3.3998681931728574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122614286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344751913</v>
      </c>
      <c r="G29" s="144">
        <f>(+F29/F30)</f>
        <v>0.5626865020998977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612689147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416872411</v>
      </c>
      <c r="G33" s="122">
        <f>F33-F34</f>
        <v>294258125</v>
      </c>
      <c r="H33" s="120"/>
      <c r="I33" s="120" t="s">
        <v>74</v>
      </c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72" t="s">
        <v>16</v>
      </c>
      <c r="F34" s="73">
        <f>VLOOKUP(G19,'Indicadores Media 2010'!B10:F33,5,0)</f>
        <v>122614286</v>
      </c>
      <c r="G34" s="161"/>
      <c r="H34" s="125"/>
      <c r="I34" s="125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3"/>
      <c r="E35" s="15" t="s">
        <v>96</v>
      </c>
      <c r="F35" s="58">
        <f>+D16</f>
        <v>678220600</v>
      </c>
      <c r="G35" s="58">
        <f>+F35*65%</f>
        <v>440843390</v>
      </c>
      <c r="H35" s="174"/>
      <c r="I35" s="121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678220600</v>
      </c>
      <c r="G38" s="122">
        <f>+'Indicadores Media 2010'!E16-'Indicadores Media 2010'!G16</f>
        <v>267937234</v>
      </c>
      <c r="H38" s="157"/>
      <c r="I38" s="157" t="s">
        <v>74</v>
      </c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508665450</v>
      </c>
      <c r="G39" s="123"/>
      <c r="H39" s="158"/>
      <c r="I39" s="158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108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69" bottom="0.55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9">
      <selection activeCell="J42" sqref="J42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3.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5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5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Bot="1">
      <c r="A8" s="126" t="s">
        <v>12</v>
      </c>
      <c r="B8" s="127"/>
      <c r="C8" s="127"/>
      <c r="D8" s="127"/>
      <c r="E8" s="128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thickBot="1">
      <c r="A9" s="126" t="s">
        <v>10</v>
      </c>
      <c r="B9" s="127"/>
      <c r="C9" s="127"/>
      <c r="D9" s="128"/>
      <c r="E9" s="11" t="s">
        <v>11</v>
      </c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>
      <c r="A10" s="129" t="s">
        <v>65</v>
      </c>
      <c r="B10" s="130"/>
      <c r="C10" s="130"/>
      <c r="D10" s="130"/>
      <c r="E10" s="68" t="s">
        <v>91</v>
      </c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>
      <c r="A11" s="131" t="s">
        <v>64</v>
      </c>
      <c r="B11" s="132"/>
      <c r="C11" s="132"/>
      <c r="D11" s="132"/>
      <c r="E11" s="69" t="s">
        <v>91</v>
      </c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5">
      <c r="A12" s="131" t="s">
        <v>97</v>
      </c>
      <c r="B12" s="132"/>
      <c r="C12" s="132"/>
      <c r="D12" s="132"/>
      <c r="E12" s="69" t="s">
        <v>108</v>
      </c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thickBot="1">
      <c r="A13" s="133" t="s">
        <v>99</v>
      </c>
      <c r="B13" s="134"/>
      <c r="C13" s="134"/>
      <c r="D13" s="134"/>
      <c r="E13" s="70" t="s">
        <v>91</v>
      </c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>
      <c r="A15" s="27" t="s">
        <v>34</v>
      </c>
      <c r="B15" s="27"/>
      <c r="C15" s="27"/>
      <c r="D15" s="28">
        <v>4643060464</v>
      </c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7" t="s">
        <v>80</v>
      </c>
      <c r="B16" s="27"/>
      <c r="C16" s="27"/>
      <c r="D16" s="28">
        <v>58290000</v>
      </c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 thickBot="1">
      <c r="A18" s="138" t="s">
        <v>5</v>
      </c>
      <c r="B18" s="105" t="s">
        <v>13</v>
      </c>
      <c r="C18" s="106"/>
      <c r="D18" s="107"/>
      <c r="E18" s="115" t="s">
        <v>8</v>
      </c>
      <c r="F18" s="116"/>
      <c r="G18" s="116"/>
      <c r="H18" s="116"/>
      <c r="I18" s="116"/>
      <c r="J18" s="1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thickBot="1">
      <c r="A19" s="139"/>
      <c r="B19" s="108"/>
      <c r="C19" s="109"/>
      <c r="D19" s="110"/>
      <c r="E19" s="20"/>
      <c r="F19" s="21" t="s">
        <v>33</v>
      </c>
      <c r="G19" s="24">
        <v>830073833</v>
      </c>
      <c r="H19" s="21"/>
      <c r="I19" s="21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5" thickBot="1">
      <c r="A20" s="139"/>
      <c r="B20" s="108"/>
      <c r="C20" s="109"/>
      <c r="D20" s="110"/>
      <c r="E20" s="135" t="str">
        <f>VLOOKUP(G19,'Indicadores Media 2010'!B10:C33,2,0)</f>
        <v>TERSELL TERMOFORMADOS Y SELLADOS LTDA</v>
      </c>
      <c r="F20" s="136"/>
      <c r="G20" s="136"/>
      <c r="H20" s="136"/>
      <c r="I20" s="136"/>
      <c r="J20" s="1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thickBot="1">
      <c r="A21" s="139"/>
      <c r="B21" s="108"/>
      <c r="C21" s="109"/>
      <c r="D21" s="110"/>
      <c r="E21" s="115" t="s">
        <v>0</v>
      </c>
      <c r="F21" s="116"/>
      <c r="G21" s="116"/>
      <c r="H21" s="116"/>
      <c r="I21" s="116"/>
      <c r="J21" s="1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thickBot="1">
      <c r="A22" s="140"/>
      <c r="B22" s="111"/>
      <c r="C22" s="112"/>
      <c r="D22" s="113"/>
      <c r="E22" s="16"/>
      <c r="F22" s="17"/>
      <c r="G22" s="3"/>
      <c r="H22" s="4" t="s">
        <v>2</v>
      </c>
      <c r="I22" s="3" t="s">
        <v>1</v>
      </c>
      <c r="J22" s="3" t="s">
        <v>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thickBot="1">
      <c r="A24" s="5"/>
      <c r="B24" s="98" t="s">
        <v>14</v>
      </c>
      <c r="C24" s="98"/>
      <c r="D24" s="98"/>
      <c r="E24" s="6"/>
      <c r="F24" s="6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3.5">
      <c r="A25" s="94">
        <v>1</v>
      </c>
      <c r="B25" s="99" t="s">
        <v>65</v>
      </c>
      <c r="C25" s="100"/>
      <c r="D25" s="101"/>
      <c r="E25" s="7" t="s">
        <v>15</v>
      </c>
      <c r="F25" s="8">
        <f>VLOOKUP(G19,'Indicadores Media 2010'!B10:D33,3,0)</f>
        <v>20451301</v>
      </c>
      <c r="G25" s="118">
        <f>+F25/F26</f>
        <v>1.5180985173611916</v>
      </c>
      <c r="H25" s="120" t="s">
        <v>74</v>
      </c>
      <c r="I25" s="96"/>
      <c r="J25" s="9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thickBot="1">
      <c r="A26" s="95"/>
      <c r="B26" s="102"/>
      <c r="C26" s="103"/>
      <c r="D26" s="104"/>
      <c r="E26" s="9" t="s">
        <v>16</v>
      </c>
      <c r="F26" s="10">
        <f>VLOOKUP(G19,'Indicadores Media 2010'!B10:F33,5,0)</f>
        <v>13471656</v>
      </c>
      <c r="G26" s="119"/>
      <c r="H26" s="121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thickBot="1">
      <c r="A28" s="5"/>
      <c r="B28" s="98" t="s">
        <v>17</v>
      </c>
      <c r="C28" s="98"/>
      <c r="D28" s="98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5" thickBot="1">
      <c r="A29" s="94">
        <v>2</v>
      </c>
      <c r="B29" s="99" t="s">
        <v>66</v>
      </c>
      <c r="C29" s="100"/>
      <c r="D29" s="101"/>
      <c r="E29" s="64" t="s">
        <v>18</v>
      </c>
      <c r="F29" s="10">
        <f>VLOOKUP(G19,'Indicadores Media 2010'!B10:G33,6,0)</f>
        <v>13471656</v>
      </c>
      <c r="G29" s="144">
        <f>(+F29/F30)</f>
        <v>0.12185004679072636</v>
      </c>
      <c r="H29" s="120" t="s">
        <v>74</v>
      </c>
      <c r="I29" s="96"/>
      <c r="J29" s="9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5" thickBot="1">
      <c r="A30" s="95"/>
      <c r="B30" s="102"/>
      <c r="C30" s="103"/>
      <c r="D30" s="104"/>
      <c r="E30" s="65" t="s">
        <v>21</v>
      </c>
      <c r="F30" s="10">
        <f>VLOOKUP(G19,'Indicadores Media 2010'!B10:E33,4,0)</f>
        <v>110559301</v>
      </c>
      <c r="G30" s="145"/>
      <c r="H30" s="121"/>
      <c r="I30" s="97"/>
      <c r="J30" s="9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thickBot="1">
      <c r="A32" s="5"/>
      <c r="B32" s="98" t="s">
        <v>19</v>
      </c>
      <c r="C32" s="98"/>
      <c r="D32" s="98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5">
      <c r="A33" s="94">
        <v>3</v>
      </c>
      <c r="B33" s="99" t="s">
        <v>101</v>
      </c>
      <c r="C33" s="100"/>
      <c r="D33" s="101"/>
      <c r="E33" s="7" t="s">
        <v>15</v>
      </c>
      <c r="F33" s="8">
        <f>VLOOKUP(G19,'Indicadores Media 2010'!B10:E33,3,0)</f>
        <v>20451301</v>
      </c>
      <c r="G33" s="122">
        <f>F33-F34</f>
        <v>6979645</v>
      </c>
      <c r="H33" s="120"/>
      <c r="I33" s="120" t="s">
        <v>74</v>
      </c>
      <c r="J33" s="9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thickBot="1">
      <c r="A34" s="143"/>
      <c r="B34" s="146"/>
      <c r="C34" s="147"/>
      <c r="D34" s="148"/>
      <c r="E34" s="9" t="s">
        <v>16</v>
      </c>
      <c r="F34" s="10">
        <f>VLOOKUP(G19,'Indicadores Media 2010'!B10:F33,5,0)</f>
        <v>13471656</v>
      </c>
      <c r="G34" s="175"/>
      <c r="H34" s="125"/>
      <c r="I34" s="125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thickBot="1">
      <c r="A35" s="95"/>
      <c r="B35" s="102"/>
      <c r="C35" s="103"/>
      <c r="D35" s="104"/>
      <c r="E35" s="9" t="s">
        <v>96</v>
      </c>
      <c r="F35" s="10">
        <f>+D16</f>
        <v>58290000</v>
      </c>
      <c r="G35" s="10">
        <f>+F35*65%</f>
        <v>37888500</v>
      </c>
      <c r="H35" s="121"/>
      <c r="I35" s="121"/>
      <c r="J35" s="9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>
      <c r="A36" s="5"/>
      <c r="B36" s="5"/>
      <c r="C36" s="5"/>
      <c r="D36" s="18"/>
      <c r="E36" s="5"/>
      <c r="F36" s="5"/>
      <c r="G36" s="162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>
      <c r="A37" s="5"/>
      <c r="B37" s="163" t="s">
        <v>20</v>
      </c>
      <c r="C37" s="163"/>
      <c r="D37" s="163"/>
      <c r="E37" s="5"/>
      <c r="F37" s="5"/>
      <c r="G37" s="162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>
      <c r="A38" s="94">
        <v>4</v>
      </c>
      <c r="B38" s="99" t="s">
        <v>102</v>
      </c>
      <c r="C38" s="100"/>
      <c r="D38" s="101"/>
      <c r="E38" s="71" t="s">
        <v>96</v>
      </c>
      <c r="F38" s="58">
        <f>+D16</f>
        <v>58290000</v>
      </c>
      <c r="G38" s="122">
        <f>+'Indicadores Media 2010'!E17-'Indicadores Media 2010'!G17</f>
        <v>97087645</v>
      </c>
      <c r="H38" s="157" t="s">
        <v>74</v>
      </c>
      <c r="I38" s="155"/>
      <c r="J38" s="1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thickBot="1">
      <c r="A39" s="95"/>
      <c r="B39" s="102"/>
      <c r="C39" s="103"/>
      <c r="D39" s="104"/>
      <c r="E39" s="71" t="s">
        <v>94</v>
      </c>
      <c r="F39" s="58">
        <f>+F38*75%</f>
        <v>43717500</v>
      </c>
      <c r="G39" s="123"/>
      <c r="H39" s="158"/>
      <c r="I39" s="156"/>
      <c r="J39" s="15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thickBot="1">
      <c r="A41" s="150" t="s">
        <v>22</v>
      </c>
      <c r="B41" s="151"/>
      <c r="C41" s="151"/>
      <c r="D41" s="151"/>
      <c r="E41" s="151"/>
      <c r="F41" s="151"/>
      <c r="G41" s="151"/>
      <c r="H41" s="151"/>
      <c r="I41" s="152"/>
      <c r="J41" s="14" t="s">
        <v>108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9" s="19" customFormat="1" ht="12.75">
      <c r="H44" s="5"/>
      <c r="I44" s="5"/>
    </row>
    <row r="45" spans="1:10" s="19" customFormat="1" ht="12.75">
      <c r="A45" s="159" t="s">
        <v>26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0" s="19" customFormat="1" ht="12.75" customHeight="1">
      <c r="A46" s="160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19" customFormat="1" ht="12.75" customHeight="1">
      <c r="A47" s="149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8:9" s="19" customFormat="1" ht="12.75">
      <c r="H48" s="5"/>
      <c r="I48" s="5"/>
    </row>
    <row r="49" spans="1:3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</sheetData>
  <sheetProtection/>
  <mergeCells count="50">
    <mergeCell ref="A38:A39"/>
    <mergeCell ref="A46:J46"/>
    <mergeCell ref="G36:G37"/>
    <mergeCell ref="B37:D37"/>
    <mergeCell ref="G38:G39"/>
    <mergeCell ref="B38:D39"/>
    <mergeCell ref="A47:J47"/>
    <mergeCell ref="I38:I39"/>
    <mergeCell ref="J38:J39"/>
    <mergeCell ref="A41:I41"/>
    <mergeCell ref="A45:J45"/>
    <mergeCell ref="H38:H39"/>
    <mergeCell ref="A33:A35"/>
    <mergeCell ref="B33:D35"/>
    <mergeCell ref="H33:H35"/>
    <mergeCell ref="I33:I35"/>
    <mergeCell ref="J33:J35"/>
    <mergeCell ref="I29:I30"/>
    <mergeCell ref="G33:G34"/>
    <mergeCell ref="H29:H30"/>
    <mergeCell ref="B28:D28"/>
    <mergeCell ref="A29:A30"/>
    <mergeCell ref="B29:D30"/>
    <mergeCell ref="G29:G30"/>
    <mergeCell ref="J29:J30"/>
    <mergeCell ref="B32:D32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A5:J5"/>
    <mergeCell ref="A6:J6"/>
    <mergeCell ref="A9:D9"/>
    <mergeCell ref="A10:D10"/>
    <mergeCell ref="A1:J1"/>
    <mergeCell ref="A2:J2"/>
    <mergeCell ref="A3:J3"/>
    <mergeCell ref="A4:J4"/>
    <mergeCell ref="A8:E8"/>
    <mergeCell ref="A11:D11"/>
    <mergeCell ref="A12:D12"/>
    <mergeCell ref="H25:H26"/>
    <mergeCell ref="I25:I26"/>
    <mergeCell ref="A13:D13"/>
    <mergeCell ref="G25:G26"/>
  </mergeCells>
  <printOptions horizontalCentered="1" verticalCentered="1"/>
  <pageMargins left="0.7480314960629921" right="0.7480314960629921" top="0.71" bottom="0.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2011-08-19T15:11:20Z</cp:lastPrinted>
  <dcterms:created xsi:type="dcterms:W3CDTF">1996-11-27T10:00:04Z</dcterms:created>
  <dcterms:modified xsi:type="dcterms:W3CDTF">2011-09-06T20:09:20Z</dcterms:modified>
  <cp:category/>
  <cp:version/>
  <cp:contentType/>
  <cp:contentStatus/>
</cp:coreProperties>
</file>