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10" windowWidth="19440" windowHeight="7635" activeTab="10"/>
  </bookViews>
  <sheets>
    <sheet name="Consolidado" sheetId="1" r:id="rId1"/>
    <sheet name="Ponderación" sheetId="2" r:id="rId2"/>
    <sheet name="Económica Prima" sheetId="3" r:id="rId3"/>
    <sheet name="Deducibles" sheetId="4" r:id="rId4"/>
    <sheet name="TRDM" sheetId="5" r:id="rId5"/>
    <sheet name="RCE" sheetId="6" r:id="rId6"/>
    <sheet name="MANEJO" sheetId="7" r:id="rId7"/>
    <sheet name="AU" sheetId="8" r:id="rId8"/>
    <sheet name="TRMCIAS" sheetId="9" r:id="rId9"/>
    <sheet name="IRF" sheetId="10" r:id="rId10"/>
    <sheet name="RCSP" sheetId="11" r:id="rId11"/>
  </sheets>
  <definedNames/>
  <calcPr calcMode="autoNoTable" fullCalcOnLoad="1"/>
</workbook>
</file>

<file path=xl/sharedStrings.xml><?xml version="1.0" encoding="utf-8"?>
<sst xmlns="http://schemas.openxmlformats.org/spreadsheetml/2006/main" count="1201" uniqueCount="467">
  <si>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</si>
  <si>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</si>
  <si>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</si>
  <si>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</si>
  <si>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</si>
  <si>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</si>
  <si>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</si>
  <si>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</si>
  <si>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</si>
  <si>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</si>
  <si>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</si>
  <si>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</si>
  <si>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</si>
  <si>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</si>
  <si>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</si>
  <si>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</si>
  <si>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</si>
  <si>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</si>
  <si>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</si>
  <si>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</si>
  <si>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</si>
  <si>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</si>
  <si>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</si>
  <si>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</si>
  <si>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</si>
  <si>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</si>
  <si>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</si>
  <si>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</si>
  <si>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</si>
  <si>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</si>
  <si>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</si>
  <si>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</si>
  <si>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</si>
  <si>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</si>
  <si>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</si>
  <si>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</si>
  <si>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</si>
  <si>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</si>
  <si>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</si>
  <si>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</si>
  <si>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</si>
  <si>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</si>
  <si>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</si>
  <si>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</si>
  <si>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</si>
  <si>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</si>
  <si>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</si>
  <si>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</si>
  <si>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</si>
  <si>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</si>
  <si>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</si>
  <si>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</si>
  <si>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</si>
  <si>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</si>
  <si>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</si>
  <si>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</si>
  <si>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</si>
  <si>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</si>
  <si>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</si>
  <si>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</si>
  <si>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</si>
  <si>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</si>
  <si>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</si>
  <si>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</si>
  <si>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</si>
  <si>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</si>
  <si>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</si>
  <si>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</si>
  <si>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</si>
  <si>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</si>
  <si>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</si>
  <si>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</si>
  <si>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</si>
  <si>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</si>
  <si>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</si>
  <si>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</si>
  <si>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</si>
  <si>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</si>
  <si>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</si>
  <si>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</si>
  <si>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</si>
  <si>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</si>
  <si>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</si>
  <si>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</si>
  <si>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</si>
  <si>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</si>
  <si>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</si>
  <si>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</si>
  <si>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</si>
  <si>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</si>
  <si>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</si>
  <si>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</si>
  <si>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</si>
  <si>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</si>
  <si>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</si>
  <si>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</si>
  <si>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</si>
  <si>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</si>
  <si>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</si>
  <si>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</si>
  <si>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</si>
  <si>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</si>
  <si>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</si>
  <si>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</si>
  <si>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</si>
  <si>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</si>
  <si>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</si>
  <si>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</si>
  <si>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</si>
  <si>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</si>
  <si>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</si>
  <si>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</si>
  <si>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</si>
  <si>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</si>
  <si>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</si>
  <si>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</si>
  <si>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</si>
  <si>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</si>
  <si>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</si>
  <si>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</si>
  <si>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</si>
  <si>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</si>
  <si>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</si>
  <si>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</si>
  <si>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</si>
  <si>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</si>
  <si>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</si>
  <si>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</si>
  <si>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</si>
  <si>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</si>
  <si>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</si>
  <si>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</si>
  <si>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</si>
  <si>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</si>
  <si>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</si>
  <si>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</si>
  <si>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</si>
  <si>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</si>
  <si>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</si>
  <si>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</si>
  <si>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</si>
  <si>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</si>
  <si>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</si>
  <si>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</si>
  <si>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</si>
  <si>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</si>
  <si>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</si>
  <si>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</si>
  <si>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</si>
  <si>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Restablecimiento automático del límite asegurado por pago de siniestro, con cobro de prima adicional.</t>
    </r>
    <r>
      <rPr>
        <sz val="11"/>
        <rFont val="Arial"/>
        <family val="2"/>
      </rPr>
      <t xml:space="preserve"> Se califica con el máximo puntaje el mayor número de restablecimientos adicional al básico y los demás en forma proporcional..</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</si>
  <si>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</si>
  <si>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</si>
  <si>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</si>
  <si>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</si>
  <si>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</si>
  <si>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</si>
  <si>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</si>
  <si>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</si>
  <si>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</si>
  <si>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</si>
  <si>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</si>
  <si>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</si>
  <si>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</si>
  <si>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</si>
  <si>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</si>
  <si>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</si>
  <si>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t>GRUPO 1</t>
  </si>
  <si>
    <t>RAMO</t>
  </si>
  <si>
    <t>GRUPO DE PÓLIZAS</t>
  </si>
  <si>
    <t>Tasa</t>
  </si>
  <si>
    <t>Puntos</t>
  </si>
  <si>
    <t>Responsabilidad Civil Extracontractual</t>
  </si>
  <si>
    <t>Manejo Global Entidades Estatales</t>
  </si>
  <si>
    <t>Automóviles</t>
  </si>
  <si>
    <t>TOTAL</t>
  </si>
  <si>
    <t>GRUPO 2</t>
  </si>
  <si>
    <t>Infidelidad y Riesgos Financieros</t>
  </si>
  <si>
    <t>Responsabilidad Civil Servidores Públicos</t>
  </si>
  <si>
    <t>UNIVERSIDAD DISTRITAL FRANCISCO JOSÉ DE CALDAS</t>
  </si>
  <si>
    <t>Accidentes Personales Estudiantes</t>
  </si>
  <si>
    <t>Consolidado Programa</t>
  </si>
  <si>
    <t>CONSOLIDADO GRUPO 1</t>
  </si>
  <si>
    <t>FACTORES</t>
  </si>
  <si>
    <t>PUNTAJE                PARCIAL</t>
  </si>
  <si>
    <t xml:space="preserve">PUNTAJE    TOTAL </t>
  </si>
  <si>
    <t>FACTOR ECONOMICO</t>
  </si>
  <si>
    <t>Menores Deducibles</t>
  </si>
  <si>
    <t>FACTOR DE CALIDAD</t>
  </si>
  <si>
    <t>Cláusula y/o Condiciones Complementarias Calificables</t>
  </si>
  <si>
    <t>Apoyo a la industria Nacional - Ley 816 de 2003</t>
  </si>
  <si>
    <t>CONSOLIDADO GRUPO 2</t>
  </si>
  <si>
    <t>Menor Prima</t>
  </si>
  <si>
    <t>Accidentes Personales                        participación al 100%</t>
  </si>
  <si>
    <t>Todo Riesgo Daño Material                                  participacion al 25%</t>
  </si>
  <si>
    <t>Responsabilidad Civil Extracontractual   participación al 10%</t>
  </si>
  <si>
    <t>Automóviles                                participación al 10%</t>
  </si>
  <si>
    <t>PUNTAJE TOTAL</t>
  </si>
  <si>
    <t>INFORME DE EVALUACIÓN ELABORADO POR:</t>
  </si>
  <si>
    <t>NESTOR HERNANDO GUERRA RIVERA</t>
  </si>
  <si>
    <t>AON RISK SERVICES COLOMBIA S.A.</t>
  </si>
  <si>
    <t xml:space="preserve">GRUPO 2 (Seguro de Accidentes Personales Estudiantes) </t>
  </si>
  <si>
    <t xml:space="preserve">Vigencia </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</si>
  <si>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</si>
  <si>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</si>
  <si>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Infidelidad y Riesgos Financieros  participación al 10%</t>
  </si>
  <si>
    <t>Todo Riesgo Daños Materiales</t>
  </si>
  <si>
    <t>Prima por estudiante por semestre</t>
  </si>
  <si>
    <t>Mayor Vigencia - Menor Prima(soat)</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</si>
  <si>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</si>
  <si>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</si>
  <si>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</si>
  <si>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</si>
  <si>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</si>
  <si>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</si>
  <si>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</si>
  <si>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</si>
  <si>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</si>
  <si>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</si>
  <si>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</si>
  <si>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</si>
  <si>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</si>
  <si>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</si>
  <si>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</si>
  <si>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</si>
  <si>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</si>
  <si>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</si>
  <si>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</si>
  <si>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</si>
  <si>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</si>
  <si>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</si>
  <si>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</si>
  <si>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</si>
  <si>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</si>
  <si>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</si>
  <si>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</si>
  <si>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</si>
  <si>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</si>
  <si>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</si>
  <si>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</si>
  <si>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</si>
  <si>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</si>
  <si>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</si>
  <si>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</si>
  <si>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</si>
  <si>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</si>
  <si>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</si>
  <si>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</si>
  <si>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</si>
  <si>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</si>
  <si>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</si>
  <si>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</si>
  <si>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</si>
  <si>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</si>
  <si>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</si>
  <si>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</si>
  <si>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</si>
  <si>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</si>
  <si>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</si>
  <si>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</si>
  <si>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</si>
  <si>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</si>
  <si>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</si>
  <si>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</si>
  <si>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Reparaciones sin previa autorización para cualquier bien asegurado. Sublimite de $400.000.000. </t>
    </r>
    <r>
      <rPr>
        <sz val="12"/>
        <rFont val="Arial"/>
        <family val="2"/>
      </rPr>
      <t xml:space="preserve"> La aceptación de esta condición otorgará el puntaje ofrecido, la negación para aceptar esta condición no concederá puntaje.</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</si>
  <si>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</si>
  <si>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</si>
  <si>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</si>
  <si>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</si>
  <si>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</si>
  <si>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</si>
  <si>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</si>
  <si>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</si>
  <si>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</si>
  <si>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</si>
  <si>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</si>
  <si>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</si>
  <si>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</si>
  <si>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</si>
  <si>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</si>
  <si>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</si>
  <si>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</si>
  <si>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</si>
  <si>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</si>
  <si>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 Ofrecimiento de límite adicional al básico, de $2.000.000.000, exigido para el amparo de Perjuicios o detrimentos patrimoniales, </t>
    </r>
    <r>
      <rPr>
        <sz val="11"/>
        <rFont val="Arial"/>
        <family val="2"/>
      </rPr>
      <t xml:space="preserve"> sin cobro de prima. </t>
    </r>
  </si>
  <si>
    <r>
      <t xml:space="preserve">• Ofrecimiento de sublímite adicional al básico, de $800.000.000, </t>
    </r>
    <r>
      <rPr>
        <sz val="11"/>
        <rFont val="Arial"/>
        <family val="2"/>
      </rPr>
      <t>exigido para el amparo de Gastos de Defensa, sin cobro de prima.</t>
    </r>
  </si>
  <si>
    <t>ANEXO 2
UNIVERSIDAD DISTRITAL FRANCISCO JOSE DE CALDAS
SEGURO DE TRANSPORTE DE MERCANCÍAS</t>
  </si>
  <si>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</si>
  <si>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</si>
  <si>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</si>
  <si>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</si>
  <si>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</si>
  <si>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 Total Puntos - Condiciones Complementarias</t>
  </si>
  <si>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</si>
  <si>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</si>
  <si>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</si>
  <si>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</si>
  <si>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</si>
  <si>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</si>
  <si>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</si>
  <si>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</si>
  <si>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</si>
  <si>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</si>
  <si>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</si>
  <si>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</si>
  <si>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</si>
  <si>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</si>
  <si>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</si>
  <si>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Manejo Global Entidades Públicas participación al 15%</t>
  </si>
  <si>
    <t>Responsabilidad Civil Servidores Públicos participación al 25%</t>
  </si>
  <si>
    <t>Transporte de Mercancías  Participación 5%</t>
  </si>
  <si>
    <t>GRUPO 1 (Todo riesgo daño material, Manejo global, Responsabilidad civil extracontractual, Infidelidad y riesgos financieros, Responsabilidad civil servidores públicos, Automóviles y Transporte de Mercancías)</t>
  </si>
  <si>
    <t>Prima Total ( incluye IVA )</t>
  </si>
  <si>
    <t>Evaluación  primas 300 puntos - RCSP y AU 600 Puntos - ACCIDENTES PERSONALES 900 Puntos - Primas</t>
  </si>
  <si>
    <t>Transporte de Mercancías</t>
  </si>
  <si>
    <t>N/A</t>
  </si>
  <si>
    <t>Folio</t>
  </si>
  <si>
    <t>TOTAL TR MCIAS</t>
  </si>
  <si>
    <t>MEDIA ARITMÉTICA TRES OFERTAS</t>
  </si>
  <si>
    <t>TRDM</t>
  </si>
  <si>
    <t>RCE</t>
  </si>
  <si>
    <t>MANEJO</t>
  </si>
  <si>
    <t>AU</t>
  </si>
  <si>
    <t>TR MCIAS</t>
  </si>
  <si>
    <t>IRF</t>
  </si>
  <si>
    <t>RCSP</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</si>
  <si>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</si>
  <si>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Límite adicional de valor asegurado al básico exigido de, cualquier pérdida $3.000.000.000 y $6.000.000.000 en el agregado anual. </t>
    </r>
    <r>
      <rPr>
        <sz val="11"/>
        <rFont val="Arial"/>
        <family val="2"/>
      </rPr>
      <t xml:space="preserve">Se califica el límite adicional al básico obligatorio sin cobro de prima de acuerdo con lo siguiente: </t>
    </r>
  </si>
  <si>
    <r>
      <t>Ofrecimiento de límite adicional al basico de $500.000.000 evento y en el agregado anual $1.000.000.000. Total Puntos</t>
    </r>
    <r>
      <rPr>
        <b/>
        <sz val="11"/>
        <rFont val="Arial"/>
        <family val="2"/>
      </rPr>
      <t xml:space="preserve"> 50</t>
    </r>
    <r>
      <rPr>
        <sz val="11"/>
        <rFont val="Arial"/>
        <family val="2"/>
      </rPr>
      <t xml:space="preserve"> puntos</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</si>
  <si>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</si>
  <si>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t>Obras de Arte de propiedad o bajo responsabilidad del asegurado.Amparos de predios y tránsito se extienden a cubrir las obras de arte.</t>
  </si>
  <si>
    <t>UT ASEGURADORA SOLIDARIA-CHUBB DE COLOMBIA-SEGUROS DEL ESTADO</t>
  </si>
  <si>
    <t>UT LA PREVISORA CIA DE SEGUROS - HDI SEGUROS</t>
  </si>
  <si>
    <t>AXA COLPATRIA S. A.</t>
  </si>
  <si>
    <t>Se otorga adicional al básico un 9% para un total del 20%</t>
  </si>
  <si>
    <t>Se otorga adicional al básico un 16% para un total incluido el básico de $403.680.000 Evento/$672.800.000 Vigencia</t>
  </si>
  <si>
    <t>Se otorga sin tabla de demerito por uso y/o mejora tecnológica.</t>
  </si>
  <si>
    <t>Se otorga</t>
  </si>
  <si>
    <t>Se otorga total incluido el básico $95.221.311.771</t>
  </si>
  <si>
    <t>Se otorga de acuerdo con los motos de servicio del anexo asistencia.</t>
  </si>
  <si>
    <t>Se otorgan $1.000.000.000 adicionales para un total de $ 9.000.000.000</t>
  </si>
  <si>
    <t>Se otorga 5% adicional para un total del 16%</t>
  </si>
  <si>
    <t xml:space="preserve">Se otorga en total 16% </t>
  </si>
  <si>
    <t>Se otorga sin demérito desde 0 hasta 7 años.</t>
  </si>
  <si>
    <t>Se otorga adicional al básico $20.000.000 y $180.000.000, para aun total incluido el básico de $30.000.000 y $210.000.000</t>
  </si>
  <si>
    <t>Se otorga 6% adicional para un total del 12% y aviso de 100 días.</t>
  </si>
  <si>
    <t>No se Otorga</t>
  </si>
  <si>
    <t>Se otorga 14% adicional para un total del 25%</t>
  </si>
  <si>
    <t xml:space="preserve">Se otorga 20% adicional al básico. </t>
  </si>
  <si>
    <t>Se otorga sin aplicación de demérito.</t>
  </si>
  <si>
    <t>Se otorga $12.000.000.000 adicionales al básico obligatorio, para un total de $17.000.000.000</t>
  </si>
  <si>
    <t>Se otorga únicamente para el riesgo mayor (sede administrativa) y opera según clausulado.</t>
  </si>
  <si>
    <t>Se otorga $250.000.000 adicionales al básico, par aun total de $1.000.000.000</t>
  </si>
  <si>
    <t>Se otorga 10% adicional al básico, para un total de 30%</t>
  </si>
  <si>
    <t>Se otorga al 100%</t>
  </si>
  <si>
    <t>Se otorga 1% del límite asegurado</t>
  </si>
  <si>
    <t>No se otorga</t>
  </si>
  <si>
    <t>Se otorga $2.000.000.000 adicionales para un total de $ 10.000.000.000</t>
  </si>
  <si>
    <t>Para evento se otorga 35% adicional, para un total de 55% y para vigencia se otorga un 30% adicional para un total vigencia del 80%</t>
  </si>
  <si>
    <t>Se otorga 90% adicionales para un total de 100%</t>
  </si>
  <si>
    <t>Para persona se otorga $15.000.000 adicional, para un total de $ 45.000.000 y para evento/vigencia se otorga $440.000.000 adicional para un total vigencia de $800.000.000.</t>
  </si>
  <si>
    <t>Para el limite asegurado anual por evento se otorga un adicional del 40% par aun total del 50% y límite para la vigencia un adicional del 50% para un total del 100%.</t>
  </si>
  <si>
    <t>Para evento se otorga $500.000.000 adiciaonal al básico para un total de $3.000.000.000 y para el agregado un adicional de $1.000.000.000 par aun total de $7.000.000.000</t>
  </si>
  <si>
    <t>Se otorga 3 meses adicionales para un total de 12 meses</t>
  </si>
  <si>
    <t>Se otorga 61 días adicionales para un total de 121 días.</t>
  </si>
  <si>
    <t>Se otorga 30 días adicionales para un total de 150 días.</t>
  </si>
  <si>
    <t>Se otorga deducible de 3 días</t>
  </si>
  <si>
    <t>Se otorgan $100.000.000 adicionales para un total de $200.000.000</t>
  </si>
  <si>
    <t>Se otorga sublímite del 5% evento y en el agregado vigencia.</t>
  </si>
  <si>
    <t>Se otorga amparo de Infidelidad bajo texto DHP 84</t>
  </si>
  <si>
    <t>Se otorga, eliminación de garantías. Clausulado Solidaria señala condiciones precedentes de responsabilidad</t>
  </si>
  <si>
    <t xml:space="preserve">Se otorga, sublimitado al 10% del límite básico contratado por evento </t>
  </si>
  <si>
    <t xml:space="preserve">Se otorga, sublimitado a $50.000.000, del límite básico contratado por evento/$100.000.000 vigencia </t>
  </si>
  <si>
    <t>Se otorga de acuerdo con lo solicitado un adicional de $300.000.000 al básico.</t>
  </si>
  <si>
    <t>Se otorga de acuerdo con lo solicitado un adicional de $150.000.000 al básico.</t>
  </si>
  <si>
    <t>Se otorga de acuerdo con lo solicitado un adicional de $2.500.000 al básico.</t>
  </si>
  <si>
    <t>Se otorga 10% de bono de retorno por experiencia siniestral. Según Formula</t>
  </si>
  <si>
    <t>Se otorgan 30 días adicionales, para un total de 120 días.</t>
  </si>
  <si>
    <t>Se otorga incluido el básico: $1.250.000.000 / $1.250.000.000 / $2.500.000.000</t>
  </si>
  <si>
    <t>Se otorga incluido el básico $600.000.000</t>
  </si>
  <si>
    <t>Se otorga incluido el básico: 75 dias con límite diario de $ 65.000</t>
  </si>
  <si>
    <t>1.4%o.</t>
  </si>
  <si>
    <t>VRS</t>
  </si>
  <si>
    <t>1% SOBRE EL VALOR DE LA PÉRDIDA SIN MINIMO</t>
  </si>
  <si>
    <t>SIN DEDUCIBLE</t>
  </si>
  <si>
    <t>$50.000.000</t>
  </si>
  <si>
    <t>$20.000.000</t>
  </si>
  <si>
    <t>Se otorga en total un sublímite de $42.000.000 por persona y $410.000.000 del límite asegurado  por evento/vigencias</t>
  </si>
  <si>
    <t>Se otorga en total sublímite:  26% del límite asegurado anual para evento y 61% del límite asegurado  para la vigencia</t>
  </si>
  <si>
    <t>Se otorga en total:  26% del límite asegurado anual para evento y 62% del límite asegurado  para la vigencia</t>
  </si>
  <si>
    <t>Se otorga en total sublímite:  36% del límite asegurado anual</t>
  </si>
  <si>
    <t>Se otorga en total el 15% del límite asegurado del tercero afectado</t>
  </si>
  <si>
    <t>Se otorga en total:  16% del límite asegurado anual para evento y 62% del límite asegurado  para la vigencia</t>
  </si>
  <si>
    <t>Se otorga $300.000.000 adicionales al básico.</t>
  </si>
  <si>
    <t>Se otorga $150.000.000 adicionales al básico.</t>
  </si>
  <si>
    <t>Se otorga $2.500.000 adicionales al básico.</t>
  </si>
  <si>
    <t>Se otorga $150.000.000 adicionales al básico, par aun total de $900.000.000</t>
  </si>
  <si>
    <t>Se otorga 15% adicional al básico, para un total de 35%</t>
  </si>
  <si>
    <t>Se otorga con un sublímite del 50% del Valor Asegurado</t>
  </si>
  <si>
    <t>Se otorgan 0.5 restablecimientos adicionales</t>
  </si>
  <si>
    <t>Se otorga con un sublímite del 70% del Valor Asegurado</t>
  </si>
  <si>
    <t>Se otorga incluido el básico: $1.000.000.000 / $1.000.000.000 / $2.000.000.000</t>
  </si>
  <si>
    <t>Se otorga incluido el básico $700.000.000</t>
  </si>
  <si>
    <t>Se otorga incluido el básico $6.000.000</t>
  </si>
  <si>
    <t>Se otorga en total $10.000.000 evento/vigencia</t>
  </si>
  <si>
    <t>Se otorga de acuerdo al clausulado adjunto</t>
  </si>
  <si>
    <t>Se otorga en total un límite de $60.000 díarios máximo 60 días</t>
  </si>
  <si>
    <t>Se otorga con límite de $ 50.000.000</t>
  </si>
  <si>
    <t>Se otorgan $500.000.000 adicionales para un total de $3.500.000.000</t>
  </si>
  <si>
    <t>Se otorgan $1.500.000.000 adicionales para un total de $4.500.000.000</t>
  </si>
  <si>
    <t>Se otorgan 45 días adicionales para un total de 75 días</t>
  </si>
  <si>
    <t>Se otorgan 10 días adicionales para un total de 40</t>
  </si>
  <si>
    <t>Se otorgan $500.000.000 adicionales por evento, $1.000.000.000 adicionales en la vigencia , en total $3.500.000.000 evento / $7.000.000.000 vigencia</t>
  </si>
  <si>
    <t>Se otorga 1 mes adicionales para un total de 10 meses</t>
  </si>
  <si>
    <t>Se otorga 35 días adicionales para un total de 95 días.</t>
  </si>
  <si>
    <t>Se otorga 35 días adicionales para un total de 125 días.</t>
  </si>
  <si>
    <t>Se otorga un límite de 5 días</t>
  </si>
  <si>
    <t>Se otorgan $200.000.000 adicionales para un total de $300.000.000</t>
  </si>
  <si>
    <t>Se otorga con límite del 100% del valor asegurado.</t>
  </si>
  <si>
    <t>1.45%o.</t>
  </si>
  <si>
    <t>$40.000.000</t>
  </si>
  <si>
    <t>$19.999.999</t>
  </si>
  <si>
    <t>Se otorgan $2.000.000.000 adicionales para un total de $10.000.000.000</t>
  </si>
  <si>
    <t>Se otorga cobertura al 100% del valor asegurado básico</t>
  </si>
  <si>
    <t>Se otorga en total un sublímite de $500.000.000 por persona y $1.000.000.000 del límite asegurado  por evento/vigencias</t>
  </si>
  <si>
    <t>Se otorga en total sublímite del 65% del valor asegurado básico</t>
  </si>
  <si>
    <t>Se otorga en total 30% del límite asegurado del tercero</t>
  </si>
  <si>
    <t>Se otorga $50.000.000 adicionales al básico, par aun total de $800.000.000</t>
  </si>
  <si>
    <t>Se otorga en total límite del 30% del límite asegurado</t>
  </si>
  <si>
    <t>Se otorga la cobertura con límite de $50.000.000 evento/vigencia</t>
  </si>
  <si>
    <t>Se otorgan un restablecimiento adicional con cobro de prima adicional</t>
  </si>
  <si>
    <t>Se otorga al 100% del valor asegurado básico</t>
  </si>
  <si>
    <t>Se otorga incluido el básico: $1.200.000.000 / $1.200.000.000 / $2.400.000.000</t>
  </si>
  <si>
    <t>Se otorga $100.000.000, para un total de $300.000.000</t>
  </si>
  <si>
    <t>Se otorga en total $5.000.000 evento/vigencia</t>
  </si>
  <si>
    <t>Se otorga para pérdidas parciales unicamente vehículos livianos, por máximo 10 días, exluye blindados.</t>
  </si>
  <si>
    <t>Se otorga en total un límite de $60.000 díarios máximo 75 días</t>
  </si>
  <si>
    <t>Se otorgan $1.000.000.000 adicionales para un total de $4.000.000.000</t>
  </si>
  <si>
    <t>Se otorgan 60 días adicionales</t>
  </si>
  <si>
    <t>Se otorga 60 días adicionales para un total de 120 días.</t>
  </si>
  <si>
    <t>Se otorga 60 días adicionales para un total de 150 días.</t>
  </si>
  <si>
    <t>Se otorga cero días para el deducible</t>
  </si>
  <si>
    <t>Se otorgan $50.000.000 adicionales para un total de $150.000.000</t>
  </si>
  <si>
    <t>1.3692%o.</t>
  </si>
  <si>
    <t>2.725%o.</t>
  </si>
  <si>
    <t>POSITIVA COMPAÑÍA DE SEGUROS S.A.</t>
  </si>
  <si>
    <t>SBS SEGUROS COLOMBIA S.A.</t>
  </si>
  <si>
    <t>SEGUROS DE VIDA DEL ESTADO S.A.</t>
  </si>
  <si>
    <t>SEGUROS DE VIDA SURAMERICANA S.A.</t>
  </si>
  <si>
    <t xml:space="preserve">ASEGURADORA SOLIDARIA DE COLOMBIA </t>
  </si>
  <si>
    <t>LIBERTY SEGUROS S.A.</t>
  </si>
  <si>
    <t>Folio 198</t>
  </si>
  <si>
    <t>AXA COLPATRIA SEGUROS S. A.</t>
  </si>
  <si>
    <t>AXA COLPATRIA SEGUROS  S.A.</t>
  </si>
  <si>
    <t>Folio 99</t>
  </si>
  <si>
    <t>Folio 110</t>
  </si>
  <si>
    <t>Folio 123</t>
  </si>
  <si>
    <t>Folio 229</t>
  </si>
  <si>
    <t>Folio 148</t>
  </si>
  <si>
    <t>Folio 125</t>
  </si>
  <si>
    <t>Se otorga otorga en total  un valor que no supere la suma de $60.000.000 y pérdidas asciendan a un acumulado de $120.000.000</t>
  </si>
  <si>
    <t>Se otorga en total un valor que no supere la suma de $15.000.000 y pérdidas asciendan a un acumulado de $45.000.000</t>
  </si>
  <si>
    <t xml:space="preserve">Folios 250 y 252 </t>
  </si>
  <si>
    <t>UT LA PREVISORA S.A. CIA DE SEGUROS - HDI SEGUROS S.A.</t>
  </si>
  <si>
    <t>Folio del 336 al 338</t>
  </si>
  <si>
    <t>UNIVERSIDAD DISTRITAL FRANCISCO JOSÉ DE CALDAS                                                                                                                                                                                                                                                                                                    Convocatoria Pública No 009 de 2018</t>
  </si>
  <si>
    <t>NO PRESENTÓ OFERTA</t>
  </si>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</sst>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 numFmtId="168" formatCode="&quot;$&quot;\ #,##0"/>
    <numFmt numFmtId="169" formatCode="&quot;$&quot;\ #,##0.00"/>
    <numFmt numFmtId="170" formatCode="0.000"/>
    <numFmt numFmtId="171" formatCode="0.0000"/>
    <numFmt numFmtId="172" formatCode="#,##0.0"/>
    <numFmt numFmtId="173" formatCode="0.000000000"/>
    <numFmt numFmtId="174" formatCode="0.0000000000"/>
    <numFmt numFmtId="175" formatCode="0.00000000"/>
    <numFmt numFmtId="176" formatCode="0.0000000"/>
    <numFmt numFmtId="177" formatCode="0.000000"/>
    <numFmt numFmtId="178" formatCode="0.0000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0%"/>
    <numFmt numFmtId="184" formatCode="0.000%"/>
    <numFmt numFmtId="185" formatCode="0.0000%"/>
    <numFmt numFmtId="186" formatCode="&quot;$&quot;\ #,##0.0"/>
    <numFmt numFmtId="187" formatCode="&quot;$&quot;\ #,##0.000"/>
    <numFmt numFmtId="188" formatCode="#,##0.000"/>
    <numFmt numFmtId="189" formatCode="#,##0.0000"/>
  </numFmts>
  <fonts count="98">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color indexed="9"/>
      <name val="Arial"/>
      <family val="2"/>
    </font>
    <font>
      <b/>
      <sz val="12"/>
      <name val="Arial"/>
      <family val="2"/>
    </font>
    <font>
      <b/>
      <sz val="10"/>
      <color indexed="9"/>
      <name val="Arial"/>
      <family val="2"/>
    </font>
    <font>
      <b/>
      <sz val="16"/>
      <color indexed="9"/>
      <name val="Arial"/>
      <family val="2"/>
    </font>
    <font>
      <sz val="12"/>
      <name val="Arial"/>
      <family val="2"/>
    </font>
    <font>
      <sz val="14"/>
      <name val="Arial"/>
      <family val="2"/>
    </font>
    <font>
      <b/>
      <sz val="14"/>
      <color indexed="9"/>
      <name val="Arial"/>
      <family val="2"/>
    </font>
    <font>
      <sz val="16"/>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10"/>
      <name val="Arial"/>
      <family val="2"/>
    </font>
    <font>
      <b/>
      <sz val="14"/>
      <color indexed="60"/>
      <name val="Arial"/>
      <family val="2"/>
    </font>
    <font>
      <sz val="10"/>
      <color indexed="60"/>
      <name val="Arial"/>
      <family val="2"/>
    </font>
    <font>
      <b/>
      <sz val="10"/>
      <color indexed="10"/>
      <name val="Arial"/>
      <family val="2"/>
    </font>
    <font>
      <sz val="10"/>
      <color indexed="10"/>
      <name val="Arial"/>
      <family val="2"/>
    </font>
    <font>
      <b/>
      <sz val="16"/>
      <color indexed="10"/>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b/>
      <sz val="8"/>
      <color indexed="9"/>
      <name val="Arial"/>
      <family val="2"/>
    </font>
    <font>
      <sz val="12"/>
      <color indexed="9"/>
      <name val="Arial"/>
      <family val="2"/>
    </font>
    <font>
      <b/>
      <sz val="18"/>
      <color indexed="10"/>
      <name val="Arial"/>
      <family val="2"/>
    </font>
    <font>
      <sz val="16"/>
      <color indexed="10"/>
      <name val="Arial"/>
      <family val="2"/>
    </font>
    <font>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
      <color theme="0"/>
      <name val="Arial"/>
      <family val="2"/>
    </font>
    <font>
      <b/>
      <sz val="14"/>
      <color rgb="FFFF0000"/>
      <name val="Arial"/>
      <family val="2"/>
    </font>
    <font>
      <b/>
      <sz val="11"/>
      <color theme="0"/>
      <name val="Arial"/>
      <family val="2"/>
    </font>
    <font>
      <b/>
      <sz val="14"/>
      <color rgb="FFC00000"/>
      <name val="Arial"/>
      <family val="2"/>
    </font>
    <font>
      <sz val="10"/>
      <color rgb="FFC00000"/>
      <name val="Arial"/>
      <family val="2"/>
    </font>
    <font>
      <b/>
      <sz val="10"/>
      <color theme="0"/>
      <name val="Arial"/>
      <family val="2"/>
    </font>
    <font>
      <b/>
      <sz val="10"/>
      <color rgb="FFFF0000"/>
      <name val="Arial"/>
      <family val="2"/>
    </font>
    <font>
      <sz val="10"/>
      <color rgb="FFFF0000"/>
      <name val="Arial"/>
      <family val="2"/>
    </font>
    <font>
      <b/>
      <sz val="16"/>
      <color rgb="FFFF000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b/>
      <sz val="16"/>
      <color theme="0"/>
      <name val="Arial"/>
      <family val="2"/>
    </font>
    <font>
      <b/>
      <sz val="8"/>
      <color theme="0"/>
      <name val="Arial"/>
      <family val="2"/>
    </font>
    <font>
      <b/>
      <sz val="12"/>
      <color theme="0"/>
      <name val="Arial"/>
      <family val="2"/>
    </font>
    <font>
      <sz val="12"/>
      <color theme="0"/>
      <name val="Arial"/>
      <family val="2"/>
    </font>
    <font>
      <b/>
      <sz val="18"/>
      <color rgb="FFFF0000"/>
      <name val="Arial"/>
      <family val="2"/>
    </font>
    <font>
      <sz val="16"/>
      <color rgb="FFFF0000"/>
      <name val="Arial"/>
      <family val="2"/>
    </font>
    <font>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top style="medium"/>
      <bottom style="thin"/>
    </border>
    <border>
      <left style="medium"/>
      <right/>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color indexed="63"/>
      </top>
      <bottom style="thin"/>
    </border>
    <border>
      <left style="medium"/>
      <right/>
      <top style="thin"/>
      <bottom>
        <color indexed="63"/>
      </bottom>
    </border>
    <border>
      <left style="thin">
        <color indexed="58"/>
      </left>
      <right style="thin">
        <color indexed="58"/>
      </right>
      <top style="thin">
        <color indexed="58"/>
      </top>
      <bottom style="thin"/>
    </border>
    <border>
      <left style="thin"/>
      <right style="medium"/>
      <top style="thin"/>
      <bottom>
        <color indexed="63"/>
      </bottom>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color indexed="63"/>
      </left>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4" fillId="29" borderId="1" applyNumberFormat="0" applyAlignment="0" applyProtection="0"/>
    <xf numFmtId="0" fontId="3"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69" fillId="21"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3" fillId="0" borderId="8" applyNumberFormat="0" applyFill="0" applyAlignment="0" applyProtection="0"/>
    <xf numFmtId="0" fontId="75" fillId="0" borderId="9" applyNumberFormat="0" applyFill="0" applyAlignment="0" applyProtection="0"/>
  </cellStyleXfs>
  <cellXfs count="473">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10" fillId="0" borderId="10" xfId="60" applyFont="1" applyFill="1" applyBorder="1" applyAlignment="1">
      <alignment horizontal="center" vertical="center" wrapText="1"/>
    </xf>
    <xf numFmtId="0" fontId="2" fillId="0" borderId="0" xfId="60" applyFont="1" applyFill="1" applyAlignment="1">
      <alignment horizontal="justify" vertical="center" wrapText="1"/>
    </xf>
    <xf numFmtId="0" fontId="2" fillId="0" borderId="0" xfId="59" applyFont="1" applyFill="1" applyAlignment="1">
      <alignment horizontal="justify" vertical="center" wrapText="1"/>
    </xf>
    <xf numFmtId="0" fontId="8" fillId="0" borderId="0" xfId="60" applyFont="1" applyFill="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0" fontId="3" fillId="0" borderId="0" xfId="59" applyFill="1" applyAlignment="1">
      <alignment/>
    </xf>
    <xf numFmtId="0" fontId="3" fillId="0" borderId="0" xfId="56">
      <alignment/>
      <protection/>
    </xf>
    <xf numFmtId="0" fontId="7" fillId="0" borderId="10" xfId="59" applyFont="1" applyFill="1" applyBorder="1" applyAlignment="1">
      <alignment horizontal="left" vertical="top" wrapText="1" indent="1"/>
    </xf>
    <xf numFmtId="164" fontId="2" fillId="0" borderId="10" xfId="59" applyNumberFormat="1" applyFont="1" applyFill="1" applyBorder="1" applyAlignment="1">
      <alignment vertical="top" wrapText="1"/>
    </xf>
    <xf numFmtId="164" fontId="7" fillId="0" borderId="10" xfId="59" applyNumberFormat="1" applyFont="1" applyFill="1" applyBorder="1" applyAlignment="1">
      <alignment vertical="top" wrapText="1"/>
    </xf>
    <xf numFmtId="164" fontId="7" fillId="0" borderId="10" xfId="59" applyNumberFormat="1" applyFont="1" applyFill="1" applyBorder="1" applyAlignment="1">
      <alignment horizontal="center" vertical="top" wrapText="1"/>
    </xf>
    <xf numFmtId="0" fontId="2" fillId="0" borderId="10" xfId="59" applyFont="1" applyFill="1" applyBorder="1" applyAlignment="1">
      <alignment horizontal="left" vertical="top" wrapText="1" indent="1"/>
    </xf>
    <xf numFmtId="164" fontId="2" fillId="0" borderId="10" xfId="59" applyNumberFormat="1" applyFont="1" applyFill="1" applyBorder="1" applyAlignment="1">
      <alignment horizontal="center" vertical="top" wrapText="1"/>
    </xf>
    <xf numFmtId="0" fontId="5" fillId="0" borderId="10" xfId="59" applyFont="1" applyFill="1" applyBorder="1" applyAlignment="1">
      <alignment horizontal="left" vertical="top" wrapText="1" indent="1"/>
    </xf>
    <xf numFmtId="0" fontId="9" fillId="0" borderId="10" xfId="59" applyFont="1" applyFill="1" applyBorder="1" applyAlignment="1">
      <alignment horizontal="left" vertical="top" wrapText="1" indent="1"/>
    </xf>
    <xf numFmtId="0" fontId="2" fillId="0" borderId="11" xfId="59" applyFont="1" applyFill="1" applyBorder="1" applyAlignment="1">
      <alignment vertical="center" wrapText="1"/>
    </xf>
    <xf numFmtId="0" fontId="2" fillId="0" borderId="0" xfId="59" applyFont="1" applyFill="1" applyBorder="1" applyAlignment="1">
      <alignment vertical="top" wrapText="1"/>
    </xf>
    <xf numFmtId="0" fontId="2" fillId="0" borderId="0" xfId="59" applyFont="1" applyFill="1" applyBorder="1" applyAlignment="1">
      <alignment horizontal="justify" vertical="center" wrapText="1"/>
    </xf>
    <xf numFmtId="0" fontId="2" fillId="0" borderId="0" xfId="59" applyFont="1" applyFill="1" applyAlignment="1">
      <alignment vertical="top" wrapText="1"/>
    </xf>
    <xf numFmtId="0" fontId="4" fillId="33" borderId="12"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58"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64"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64"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4" applyFont="1" applyFill="1" applyBorder="1" applyAlignment="1">
      <alignment horizontal="justify" vertical="top" wrapText="1"/>
    </xf>
    <xf numFmtId="0" fontId="2" fillId="0" borderId="0" xfId="54" applyFont="1" applyFill="1" applyAlignment="1">
      <alignment horizontal="justify" vertical="center" wrapText="1"/>
    </xf>
    <xf numFmtId="0" fontId="7" fillId="0" borderId="12" xfId="0" applyFont="1" applyFill="1" applyBorder="1" applyAlignment="1">
      <alignment vertical="top"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5" fillId="0" borderId="10" xfId="54" applyFont="1" applyFill="1" applyBorder="1" applyAlignment="1">
      <alignment horizontal="left" vertical="top" wrapText="1" indent="1"/>
    </xf>
    <xf numFmtId="164" fontId="5" fillId="0" borderId="10" xfId="54" applyNumberFormat="1" applyFont="1" applyFill="1" applyBorder="1" applyAlignment="1">
      <alignment vertical="top" wrapText="1"/>
    </xf>
    <xf numFmtId="0" fontId="9" fillId="0" borderId="10" xfId="54" applyFont="1" applyFill="1" applyBorder="1" applyAlignment="1">
      <alignment horizontal="left" vertical="top" wrapText="1" indent="1"/>
    </xf>
    <xf numFmtId="164" fontId="9" fillId="0" borderId="10" xfId="54"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40" fillId="0" borderId="0" xfId="0" applyFont="1" applyAlignment="1">
      <alignment/>
    </xf>
    <xf numFmtId="0" fontId="7" fillId="0" borderId="12" xfId="0" applyFont="1" applyFill="1" applyBorder="1" applyAlignment="1">
      <alignment vertical="center" wrapText="1"/>
    </xf>
    <xf numFmtId="0" fontId="41" fillId="0" borderId="0" xfId="0" applyFont="1" applyAlignment="1">
      <alignment/>
    </xf>
    <xf numFmtId="0" fontId="41" fillId="0" borderId="0" xfId="56" applyFont="1">
      <alignment/>
      <protection/>
    </xf>
    <xf numFmtId="0" fontId="2" fillId="0" borderId="12" xfId="0" applyFont="1" applyFill="1" applyBorder="1" applyAlignment="1">
      <alignment vertical="center" wrapText="1"/>
    </xf>
    <xf numFmtId="0" fontId="4" fillId="33" borderId="14" xfId="55" applyFont="1" applyFill="1" applyBorder="1" applyAlignment="1">
      <alignment horizontal="left" vertical="center" wrapText="1"/>
    </xf>
    <xf numFmtId="0" fontId="76" fillId="33" borderId="15" xfId="0" applyFont="1" applyFill="1" applyBorder="1" applyAlignment="1">
      <alignment/>
    </xf>
    <xf numFmtId="0" fontId="4" fillId="35" borderId="16" xfId="0" applyFont="1" applyFill="1" applyBorder="1" applyAlignment="1">
      <alignment vertical="center" wrapText="1"/>
    </xf>
    <xf numFmtId="165" fontId="4" fillId="35" borderId="17" xfId="49"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7" fillId="36" borderId="12" xfId="0" applyFont="1" applyFill="1" applyBorder="1" applyAlignment="1">
      <alignment vertical="center" wrapText="1"/>
    </xf>
    <xf numFmtId="2" fontId="2" fillId="0" borderId="19" xfId="0" applyNumberFormat="1" applyFont="1" applyFill="1" applyBorder="1" applyAlignment="1">
      <alignment horizontal="center" vertical="center" wrapText="1"/>
    </xf>
    <xf numFmtId="2" fontId="2" fillId="0" borderId="10" xfId="49"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2" fillId="0" borderId="20" xfId="0" applyFont="1" applyFill="1" applyBorder="1" applyAlignment="1">
      <alignment vertical="center" wrapText="1"/>
    </xf>
    <xf numFmtId="0" fontId="7" fillId="0" borderId="21" xfId="0" applyFont="1" applyFill="1" applyBorder="1" applyAlignment="1">
      <alignment vertical="top" wrapText="1"/>
    </xf>
    <xf numFmtId="0" fontId="9" fillId="0" borderId="12" xfId="0" applyFont="1" applyFill="1" applyBorder="1" applyAlignment="1">
      <alignment vertical="center" wrapText="1"/>
    </xf>
    <xf numFmtId="0" fontId="2" fillId="0" borderId="10" xfId="0" applyFont="1" applyFill="1" applyBorder="1" applyAlignment="1">
      <alignment horizontal="center" vertical="center" wrapText="1"/>
    </xf>
    <xf numFmtId="164" fontId="2" fillId="0" borderId="12" xfId="0" applyNumberFormat="1" applyFont="1" applyFill="1" applyBorder="1" applyAlignment="1">
      <alignment vertical="top" wrapText="1"/>
    </xf>
    <xf numFmtId="0" fontId="3" fillId="0" borderId="22" xfId="0" applyFont="1" applyFill="1" applyBorder="1" applyAlignment="1">
      <alignment vertical="top" wrapText="1"/>
    </xf>
    <xf numFmtId="0" fontId="7" fillId="0" borderId="22" xfId="0" applyFont="1" applyFill="1" applyBorder="1" applyAlignment="1">
      <alignment vertical="top" wrapText="1"/>
    </xf>
    <xf numFmtId="0" fontId="77" fillId="33" borderId="10" xfId="59" applyFont="1" applyFill="1" applyBorder="1" applyAlignment="1">
      <alignment horizontal="center" vertical="center" wrapText="1"/>
    </xf>
    <xf numFmtId="0" fontId="78" fillId="0" borderId="0" xfId="0" applyFont="1" applyFill="1" applyBorder="1" applyAlignment="1">
      <alignment vertical="center" wrapText="1"/>
    </xf>
    <xf numFmtId="0" fontId="2" fillId="0" borderId="10" xfId="59" applyFont="1" applyFill="1" applyBorder="1" applyAlignment="1">
      <alignment horizontal="center" vertical="center" wrapText="1"/>
    </xf>
    <xf numFmtId="0" fontId="0" fillId="0" borderId="10" xfId="0" applyBorder="1" applyAlignment="1">
      <alignment horizontal="center" vertical="center"/>
    </xf>
    <xf numFmtId="0" fontId="58" fillId="33" borderId="10" xfId="0" applyFont="1" applyFill="1" applyBorder="1" applyAlignment="1">
      <alignment horizontal="center" vertical="center"/>
    </xf>
    <xf numFmtId="0" fontId="75" fillId="0" borderId="0" xfId="0" applyFont="1" applyAlignment="1">
      <alignment/>
    </xf>
    <xf numFmtId="0" fontId="78" fillId="0" borderId="0" xfId="0" applyFont="1" applyFill="1" applyBorder="1" applyAlignment="1">
      <alignment horizontal="center" vertical="justify" wrapText="1"/>
    </xf>
    <xf numFmtId="0" fontId="4" fillId="33" borderId="21" xfId="0" applyFont="1" applyFill="1" applyBorder="1" applyAlignment="1">
      <alignment vertical="center" wrapText="1"/>
    </xf>
    <xf numFmtId="0" fontId="4" fillId="33" borderId="23" xfId="0" applyFont="1" applyFill="1" applyBorder="1" applyAlignment="1">
      <alignment vertical="center" wrapText="1"/>
    </xf>
    <xf numFmtId="0" fontId="77" fillId="33" borderId="10" xfId="0" applyFont="1" applyFill="1" applyBorder="1" applyAlignment="1">
      <alignment horizontal="center" vertical="center" wrapText="1"/>
    </xf>
    <xf numFmtId="0" fontId="79" fillId="33" borderId="12" xfId="0" applyFont="1" applyFill="1" applyBorder="1" applyAlignment="1">
      <alignment vertical="center" wrapText="1"/>
    </xf>
    <xf numFmtId="0" fontId="79" fillId="33" borderId="13" xfId="0" applyFont="1" applyFill="1" applyBorder="1" applyAlignment="1">
      <alignment vertical="center" wrapText="1"/>
    </xf>
    <xf numFmtId="0" fontId="79" fillId="33" borderId="12" xfId="54" applyFont="1" applyFill="1" applyBorder="1" applyAlignment="1">
      <alignment vertical="center" wrapText="1"/>
    </xf>
    <xf numFmtId="0" fontId="79" fillId="33" borderId="22" xfId="54" applyFont="1" applyFill="1" applyBorder="1" applyAlignment="1">
      <alignment vertical="center" wrapText="1"/>
    </xf>
    <xf numFmtId="0" fontId="3" fillId="0" borderId="0" xfId="57">
      <alignment/>
      <protection/>
    </xf>
    <xf numFmtId="0" fontId="80" fillId="0" borderId="0" xfId="0" applyFont="1" applyBorder="1" applyAlignment="1">
      <alignment horizontal="centerContinuous"/>
    </xf>
    <xf numFmtId="0" fontId="81" fillId="0" borderId="0" xfId="0" applyFont="1" applyBorder="1" applyAlignment="1">
      <alignment horizontal="centerContinuous"/>
    </xf>
    <xf numFmtId="0" fontId="82" fillId="33" borderId="24" xfId="57" applyFont="1" applyFill="1" applyBorder="1" applyAlignment="1">
      <alignment horizontal="center" vertical="center" wrapText="1"/>
      <protection/>
    </xf>
    <xf numFmtId="0" fontId="82" fillId="0" borderId="0" xfId="57" applyFont="1">
      <alignment/>
      <protection/>
    </xf>
    <xf numFmtId="0" fontId="6" fillId="0" borderId="25" xfId="57" applyFont="1" applyBorder="1" applyAlignment="1">
      <alignment horizontal="center"/>
      <protection/>
    </xf>
    <xf numFmtId="0" fontId="6" fillId="0" borderId="26" xfId="57" applyFont="1" applyBorder="1" applyAlignment="1">
      <alignment horizontal="center"/>
      <protection/>
    </xf>
    <xf numFmtId="168" fontId="6" fillId="0" borderId="10" xfId="57" applyNumberFormat="1" applyFont="1" applyBorder="1" applyAlignment="1">
      <alignment horizontal="center"/>
      <protection/>
    </xf>
    <xf numFmtId="4" fontId="6" fillId="0" borderId="27" xfId="57" applyNumberFormat="1" applyFont="1" applyBorder="1" applyAlignment="1">
      <alignment horizontal="center"/>
      <protection/>
    </xf>
    <xf numFmtId="0" fontId="13" fillId="33" borderId="28" xfId="57" applyFont="1" applyFill="1" applyBorder="1" applyAlignment="1">
      <alignment horizontal="center"/>
      <protection/>
    </xf>
    <xf numFmtId="0" fontId="13" fillId="33" borderId="29" xfId="57" applyFont="1" applyFill="1" applyBorder="1" applyAlignment="1">
      <alignment horizontal="center"/>
      <protection/>
    </xf>
    <xf numFmtId="168" fontId="13" fillId="33" borderId="30" xfId="57" applyNumberFormat="1" applyFont="1" applyFill="1" applyBorder="1" applyAlignment="1">
      <alignment horizontal="center"/>
      <protection/>
    </xf>
    <xf numFmtId="3" fontId="13" fillId="33" borderId="31" xfId="57" applyNumberFormat="1" applyFont="1" applyFill="1" applyBorder="1" applyAlignment="1">
      <alignment horizontal="center"/>
      <protection/>
    </xf>
    <xf numFmtId="0" fontId="14" fillId="0" borderId="0" xfId="57" applyFont="1">
      <alignment/>
      <protection/>
    </xf>
    <xf numFmtId="168" fontId="3" fillId="36" borderId="0" xfId="57" applyNumberFormat="1" applyFont="1" applyFill="1" applyBorder="1" applyAlignment="1">
      <alignment horizontal="center"/>
      <protection/>
    </xf>
    <xf numFmtId="0" fontId="6" fillId="0" borderId="0" xfId="57" applyFont="1">
      <alignment/>
      <protection/>
    </xf>
    <xf numFmtId="169" fontId="13" fillId="33" borderId="30" xfId="57" applyNumberFormat="1" applyFont="1" applyFill="1" applyBorder="1" applyAlignment="1">
      <alignment horizontal="center"/>
      <protection/>
    </xf>
    <xf numFmtId="0" fontId="83" fillId="0" borderId="0" xfId="0" applyFont="1" applyBorder="1" applyAlignment="1">
      <alignment/>
    </xf>
    <xf numFmtId="0" fontId="84" fillId="0" borderId="0" xfId="0" applyFont="1" applyBorder="1" applyAlignment="1">
      <alignment/>
    </xf>
    <xf numFmtId="0" fontId="84" fillId="0" borderId="0" xfId="0" applyFont="1" applyFill="1" applyBorder="1" applyAlignment="1">
      <alignment/>
    </xf>
    <xf numFmtId="0" fontId="6" fillId="0" borderId="32" xfId="0" applyFont="1" applyBorder="1" applyAlignment="1">
      <alignment/>
    </xf>
    <xf numFmtId="0" fontId="0" fillId="0" borderId="32" xfId="0" applyBorder="1" applyAlignment="1">
      <alignment/>
    </xf>
    <xf numFmtId="0" fontId="3" fillId="0" borderId="0" xfId="0" applyFont="1" applyFill="1" applyBorder="1" applyAlignment="1">
      <alignment/>
    </xf>
    <xf numFmtId="43" fontId="0" fillId="0" borderId="32" xfId="49" applyFont="1" applyBorder="1" applyAlignment="1">
      <alignment/>
    </xf>
    <xf numFmtId="0" fontId="15" fillId="33" borderId="33" xfId="0" applyFont="1" applyFill="1" applyBorder="1" applyAlignment="1">
      <alignment horizontal="center" vertical="center" wrapText="1"/>
    </xf>
    <xf numFmtId="3" fontId="15" fillId="33" borderId="33" xfId="0" applyNumberFormat="1" applyFont="1" applyFill="1" applyBorder="1" applyAlignment="1">
      <alignment horizontal="center" vertical="center" wrapText="1"/>
    </xf>
    <xf numFmtId="3" fontId="15" fillId="33" borderId="1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13" fillId="33" borderId="10" xfId="56" applyFont="1" applyFill="1" applyBorder="1" applyAlignment="1">
      <alignment horizontal="center" vertical="center" wrapText="1"/>
      <protection/>
    </xf>
    <xf numFmtId="0" fontId="0" fillId="0" borderId="0" xfId="0" applyBorder="1" applyAlignment="1">
      <alignment/>
    </xf>
    <xf numFmtId="0" fontId="85" fillId="0" borderId="0" xfId="0" applyFont="1" applyBorder="1" applyAlignment="1">
      <alignment/>
    </xf>
    <xf numFmtId="0" fontId="80" fillId="0" borderId="0" xfId="0" applyFont="1" applyFill="1" applyBorder="1" applyAlignment="1">
      <alignment vertical="center" wrapText="1"/>
    </xf>
    <xf numFmtId="0" fontId="78" fillId="0" borderId="0" xfId="57" applyFont="1" applyBorder="1" applyAlignment="1">
      <alignment horizontal="center"/>
      <protection/>
    </xf>
    <xf numFmtId="0" fontId="13" fillId="33" borderId="10" xfId="57" applyFont="1" applyFill="1" applyBorder="1" applyAlignment="1">
      <alignment horizontal="center" vertical="center" wrapText="1"/>
      <protection/>
    </xf>
    <xf numFmtId="0" fontId="6" fillId="0" borderId="10" xfId="57" applyFont="1" applyBorder="1" applyAlignment="1">
      <alignment horizontal="left"/>
      <protection/>
    </xf>
    <xf numFmtId="4" fontId="6" fillId="0" borderId="10" xfId="57" applyNumberFormat="1" applyFont="1" applyBorder="1" applyAlignment="1">
      <alignment horizontal="center"/>
      <protection/>
    </xf>
    <xf numFmtId="0" fontId="17" fillId="0" borderId="10" xfId="57" applyFont="1" applyBorder="1" applyAlignment="1">
      <alignment vertical="center" wrapText="1"/>
      <protection/>
    </xf>
    <xf numFmtId="4" fontId="18" fillId="36" borderId="10" xfId="57" applyNumberFormat="1" applyFont="1" applyFill="1" applyBorder="1" applyAlignment="1">
      <alignment horizontal="center" vertical="center"/>
      <protection/>
    </xf>
    <xf numFmtId="0" fontId="15" fillId="33" borderId="10" xfId="57" applyFont="1" applyFill="1" applyBorder="1" applyAlignment="1">
      <alignment horizontal="center"/>
      <protection/>
    </xf>
    <xf numFmtId="3" fontId="15" fillId="33" borderId="10" xfId="57" applyNumberFormat="1" applyFont="1" applyFill="1" applyBorder="1" applyAlignment="1">
      <alignment horizontal="center"/>
      <protection/>
    </xf>
    <xf numFmtId="3" fontId="0" fillId="0" borderId="0" xfId="0" applyNumberFormat="1" applyAlignment="1">
      <alignment/>
    </xf>
    <xf numFmtId="0" fontId="7" fillId="0" borderId="0" xfId="59" applyFont="1" applyFill="1" applyAlignment="1">
      <alignment horizontal="justify" vertical="center" wrapText="1"/>
    </xf>
    <xf numFmtId="0" fontId="86" fillId="33" borderId="10" xfId="59" applyFont="1" applyFill="1" applyBorder="1" applyAlignment="1">
      <alignment horizontal="center" vertical="center" wrapText="1"/>
    </xf>
    <xf numFmtId="0" fontId="2" fillId="7" borderId="10" xfId="59" applyFont="1" applyFill="1" applyBorder="1" applyAlignment="1">
      <alignment horizontal="center" vertical="center" wrapText="1"/>
    </xf>
    <xf numFmtId="0" fontId="87" fillId="33" borderId="12" xfId="0" applyFont="1" applyFill="1" applyBorder="1" applyAlignment="1">
      <alignment/>
    </xf>
    <xf numFmtId="0" fontId="87" fillId="33" borderId="22" xfId="0" applyFont="1" applyFill="1" applyBorder="1" applyAlignment="1">
      <alignment/>
    </xf>
    <xf numFmtId="0" fontId="87" fillId="33" borderId="10" xfId="0" applyFont="1" applyFill="1" applyBorder="1" applyAlignment="1">
      <alignment horizontal="center" vertical="center"/>
    </xf>
    <xf numFmtId="2" fontId="87" fillId="33" borderId="10" xfId="0" applyNumberFormat="1" applyFont="1" applyFill="1" applyBorder="1" applyAlignment="1">
      <alignment horizontal="center" vertical="center"/>
    </xf>
    <xf numFmtId="0" fontId="88" fillId="0" borderId="0" xfId="0" applyFont="1" applyAlignment="1">
      <alignment/>
    </xf>
    <xf numFmtId="2" fontId="2" fillId="0" borderId="10" xfId="59" applyNumberFormat="1" applyFont="1" applyFill="1" applyBorder="1" applyAlignment="1">
      <alignment horizontal="center" vertical="center" wrapText="1"/>
    </xf>
    <xf numFmtId="0" fontId="89" fillId="33" borderId="10" xfId="59" applyFont="1" applyFill="1" applyBorder="1" applyAlignment="1">
      <alignment horizontal="center" vertical="center" wrapText="1"/>
    </xf>
    <xf numFmtId="2" fontId="86" fillId="33" borderId="10" xfId="59" applyNumberFormat="1" applyFont="1" applyFill="1" applyBorder="1" applyAlignment="1">
      <alignment horizontal="center" vertical="center" wrapText="1"/>
    </xf>
    <xf numFmtId="0" fontId="19" fillId="33" borderId="10" xfId="0" applyFont="1" applyFill="1" applyBorder="1" applyAlignment="1">
      <alignment vertical="center" wrapText="1"/>
    </xf>
    <xf numFmtId="0" fontId="18"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77" fillId="33" borderId="10" xfId="0" applyNumberFormat="1" applyFont="1" applyFill="1" applyBorder="1" applyAlignment="1">
      <alignment horizontal="center" vertical="center" wrapText="1"/>
    </xf>
    <xf numFmtId="0" fontId="87" fillId="33" borderId="13" xfId="0" applyFont="1" applyFill="1" applyBorder="1" applyAlignment="1">
      <alignment/>
    </xf>
    <xf numFmtId="0" fontId="18" fillId="0" borderId="0" xfId="60" applyFont="1" applyFill="1" applyAlignment="1">
      <alignment horizontal="justify" vertical="center" wrapText="1"/>
    </xf>
    <xf numFmtId="0" fontId="18" fillId="0" borderId="0" xfId="0" applyFont="1" applyFill="1" applyAlignment="1">
      <alignment vertical="center" wrapText="1"/>
    </xf>
    <xf numFmtId="0" fontId="76" fillId="0" borderId="10" xfId="0" applyFont="1" applyBorder="1" applyAlignment="1">
      <alignment horizontal="center" vertical="center"/>
    </xf>
    <xf numFmtId="2" fontId="76" fillId="0" borderId="10" xfId="0" applyNumberFormat="1" applyFont="1" applyBorder="1" applyAlignment="1">
      <alignment horizontal="center" vertical="center"/>
    </xf>
    <xf numFmtId="0" fontId="86" fillId="33" borderId="12" xfId="0" applyFont="1" applyFill="1" applyBorder="1" applyAlignment="1">
      <alignment/>
    </xf>
    <xf numFmtId="0" fontId="86" fillId="33" borderId="22" xfId="0" applyFont="1" applyFill="1" applyBorder="1" applyAlignment="1">
      <alignment/>
    </xf>
    <xf numFmtId="0" fontId="86" fillId="33" borderId="10" xfId="0" applyFont="1" applyFill="1" applyBorder="1" applyAlignment="1">
      <alignment horizontal="center" vertical="center"/>
    </xf>
    <xf numFmtId="2" fontId="86" fillId="33" borderId="10" xfId="0" applyNumberFormat="1" applyFont="1" applyFill="1" applyBorder="1" applyAlignment="1">
      <alignment horizontal="center" vertical="center"/>
    </xf>
    <xf numFmtId="0" fontId="90" fillId="0" borderId="0" xfId="0" applyFont="1" applyAlignment="1">
      <alignment/>
    </xf>
    <xf numFmtId="0" fontId="2" fillId="0" borderId="25" xfId="57" applyFont="1" applyBorder="1">
      <alignment/>
      <protection/>
    </xf>
    <xf numFmtId="0" fontId="2" fillId="0" borderId="34" xfId="57" applyFont="1" applyBorder="1">
      <alignment/>
      <protection/>
    </xf>
    <xf numFmtId="2" fontId="2" fillId="0" borderId="26" xfId="57" applyNumberFormat="1" applyFont="1" applyBorder="1" applyAlignment="1">
      <alignment horizontal="center" vertical="center"/>
      <protection/>
    </xf>
    <xf numFmtId="168" fontId="2" fillId="0" borderId="10" xfId="57" applyNumberFormat="1" applyFont="1" applyBorder="1" applyAlignment="1">
      <alignment horizontal="center"/>
      <protection/>
    </xf>
    <xf numFmtId="0" fontId="2" fillId="0" borderId="10" xfId="57" applyFont="1" applyBorder="1" applyAlignment="1">
      <alignment horizontal="center" vertical="center"/>
      <protection/>
    </xf>
    <xf numFmtId="2" fontId="2" fillId="0" borderId="27" xfId="57" applyNumberFormat="1" applyFont="1" applyBorder="1" applyAlignment="1">
      <alignment horizontal="center" vertical="center"/>
      <protection/>
    </xf>
    <xf numFmtId="168" fontId="6" fillId="0" borderId="10" xfId="57" applyNumberFormat="1" applyFont="1" applyBorder="1" applyAlignment="1">
      <alignment horizontal="center" wrapText="1"/>
      <protection/>
    </xf>
    <xf numFmtId="168" fontId="6" fillId="0" borderId="10" xfId="57" applyNumberFormat="1" applyFont="1" applyBorder="1" applyAlignment="1">
      <alignment horizontal="center" vertical="center"/>
      <protection/>
    </xf>
    <xf numFmtId="4" fontId="6" fillId="0" borderId="27" xfId="57" applyNumberFormat="1" applyFont="1" applyBorder="1" applyAlignment="1">
      <alignment horizontal="center" vertical="center"/>
      <protection/>
    </xf>
    <xf numFmtId="0" fontId="6" fillId="0" borderId="25" xfId="57" applyFont="1" applyBorder="1" applyAlignment="1">
      <alignment horizontal="center" vertical="center"/>
      <protection/>
    </xf>
    <xf numFmtId="0" fontId="6" fillId="0" borderId="26" xfId="57" applyFont="1" applyBorder="1" applyAlignment="1">
      <alignment horizontal="center" vertical="center"/>
      <protection/>
    </xf>
    <xf numFmtId="0" fontId="15" fillId="33" borderId="10" xfId="56" applyFont="1" applyFill="1" applyBorder="1" applyAlignment="1">
      <alignment horizontal="center" vertical="center" wrapText="1"/>
      <protection/>
    </xf>
    <xf numFmtId="4" fontId="13" fillId="33" borderId="10" xfId="0" applyNumberFormat="1" applyFont="1" applyFill="1" applyBorder="1" applyAlignment="1">
      <alignment horizontal="center"/>
    </xf>
    <xf numFmtId="3" fontId="14" fillId="0" borderId="0" xfId="0" applyNumberFormat="1" applyFont="1" applyFill="1" applyBorder="1" applyAlignment="1">
      <alignment horizontal="center"/>
    </xf>
    <xf numFmtId="0" fontId="78" fillId="0" borderId="0" xfId="0" applyFont="1" applyFill="1" applyBorder="1" applyAlignment="1">
      <alignment horizontal="center" vertical="justify" wrapText="1"/>
    </xf>
    <xf numFmtId="4" fontId="19" fillId="33" borderId="10" xfId="0" applyNumberFormat="1" applyFont="1" applyFill="1" applyBorder="1" applyAlignment="1">
      <alignment horizontal="center" vertical="center" wrapText="1"/>
    </xf>
    <xf numFmtId="4" fontId="2" fillId="0" borderId="35" xfId="59" applyNumberFormat="1" applyFont="1" applyFill="1" applyBorder="1" applyAlignment="1" applyProtection="1">
      <alignment horizontal="center" vertical="center" wrapText="1"/>
      <protection/>
    </xf>
    <xf numFmtId="0" fontId="91" fillId="33" borderId="10" xfId="0" applyFont="1" applyFill="1" applyBorder="1" applyAlignment="1">
      <alignment horizontal="center" vertical="center" wrapText="1"/>
    </xf>
    <xf numFmtId="2" fontId="91" fillId="33" borderId="10" xfId="0" applyNumberFormat="1" applyFont="1" applyFill="1" applyBorder="1" applyAlignment="1">
      <alignment horizontal="center" vertical="center" wrapText="1"/>
    </xf>
    <xf numFmtId="0" fontId="20" fillId="0" borderId="0" xfId="60" applyFont="1" applyFill="1" applyAlignment="1">
      <alignment horizontal="justify" vertical="center" wrapText="1"/>
    </xf>
    <xf numFmtId="4" fontId="7" fillId="0" borderId="10" xfId="0" applyNumberFormat="1" applyFont="1" applyBorder="1" applyAlignment="1">
      <alignment horizontal="center"/>
    </xf>
    <xf numFmtId="4" fontId="7"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7"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xf>
    <xf numFmtId="0" fontId="2" fillId="0" borderId="10" xfId="0" applyFont="1" applyBorder="1" applyAlignment="1">
      <alignment horizontal="justify"/>
    </xf>
    <xf numFmtId="0" fontId="2" fillId="0" borderId="12" xfId="0" applyFont="1" applyBorder="1" applyAlignment="1">
      <alignment horizontal="justify"/>
    </xf>
    <xf numFmtId="4" fontId="2" fillId="0" borderId="10" xfId="0" applyNumberFormat="1" applyFont="1" applyBorder="1" applyAlignment="1">
      <alignment horizontal="center"/>
    </xf>
    <xf numFmtId="4" fontId="4" fillId="33" borderId="10" xfId="0" applyNumberFormat="1" applyFont="1" applyFill="1" applyBorder="1" applyAlignment="1">
      <alignment horizontal="center"/>
    </xf>
    <xf numFmtId="0" fontId="4" fillId="33" borderId="22" xfId="0" applyFont="1" applyFill="1" applyBorder="1" applyAlignment="1">
      <alignment vertical="center" wrapText="1"/>
    </xf>
    <xf numFmtId="0" fontId="17" fillId="36" borderId="10" xfId="59" applyFont="1" applyFill="1" applyBorder="1" applyAlignment="1">
      <alignment horizontal="center" vertical="center"/>
    </xf>
    <xf numFmtId="2" fontId="17" fillId="36" borderId="10" xfId="59" applyNumberFormat="1" applyFont="1" applyFill="1" applyBorder="1" applyAlignment="1">
      <alignment horizontal="center" vertical="center"/>
    </xf>
    <xf numFmtId="0" fontId="17" fillId="36" borderId="10" xfId="59" applyFont="1" applyFill="1" applyBorder="1" applyAlignment="1">
      <alignment horizontal="center" vertical="center" wrapText="1"/>
    </xf>
    <xf numFmtId="2" fontId="17" fillId="36" borderId="10" xfId="59" applyNumberFormat="1" applyFont="1" applyFill="1" applyBorder="1" applyAlignment="1">
      <alignment horizontal="center" vertical="center" wrapText="1"/>
    </xf>
    <xf numFmtId="0" fontId="17" fillId="36" borderId="10" xfId="56" applyFont="1" applyFill="1" applyBorder="1" applyAlignment="1">
      <alignment horizontal="center" vertical="center" wrapText="1"/>
      <protection/>
    </xf>
    <xf numFmtId="2" fontId="17" fillId="36" borderId="10" xfId="56" applyNumberFormat="1" applyFont="1" applyFill="1" applyBorder="1" applyAlignment="1">
      <alignment horizontal="center" vertical="center"/>
      <protection/>
    </xf>
    <xf numFmtId="2" fontId="17" fillId="36" borderId="10"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2" fontId="17" fillId="34" borderId="33" xfId="0" applyNumberFormat="1" applyFont="1" applyFill="1" applyBorder="1" applyAlignment="1">
      <alignment horizontal="center" vertical="center" wrapText="1"/>
    </xf>
    <xf numFmtId="0" fontId="2" fillId="36" borderId="26" xfId="57" applyFont="1" applyFill="1" applyBorder="1" applyAlignment="1">
      <alignment horizontal="center" vertical="center"/>
      <protection/>
    </xf>
    <xf numFmtId="168" fontId="2" fillId="36" borderId="10" xfId="57" applyNumberFormat="1" applyFont="1" applyFill="1" applyBorder="1" applyAlignment="1">
      <alignment horizontal="center" vertical="center"/>
      <protection/>
    </xf>
    <xf numFmtId="0" fontId="2" fillId="36" borderId="10" xfId="57" applyNumberFormat="1" applyFont="1" applyFill="1" applyBorder="1" applyAlignment="1">
      <alignment horizontal="center" vertical="center"/>
      <protection/>
    </xf>
    <xf numFmtId="4" fontId="2" fillId="36" borderId="27" xfId="57" applyNumberFormat="1" applyFont="1" applyFill="1" applyBorder="1" applyAlignment="1">
      <alignment horizontal="center" vertical="center"/>
      <protection/>
    </xf>
    <xf numFmtId="10" fontId="2" fillId="36" borderId="26" xfId="57" applyNumberFormat="1" applyFont="1" applyFill="1" applyBorder="1" applyAlignment="1">
      <alignment horizontal="center" vertical="center"/>
      <protection/>
    </xf>
    <xf numFmtId="10" fontId="2" fillId="36" borderId="26" xfId="62" applyNumberFormat="1" applyFont="1" applyFill="1" applyBorder="1" applyAlignment="1">
      <alignment horizontal="center" vertical="center"/>
    </xf>
    <xf numFmtId="168" fontId="2" fillId="36" borderId="17" xfId="57" applyNumberFormat="1" applyFont="1" applyFill="1" applyBorder="1" applyAlignment="1">
      <alignment horizontal="center" vertical="center"/>
      <protection/>
    </xf>
    <xf numFmtId="4" fontId="2" fillId="36" borderId="36" xfId="57" applyNumberFormat="1" applyFont="1" applyFill="1" applyBorder="1" applyAlignment="1">
      <alignment horizontal="center" vertical="center"/>
      <protection/>
    </xf>
    <xf numFmtId="168" fontId="2" fillId="36" borderId="0" xfId="57" applyNumberFormat="1" applyFont="1" applyFill="1" applyBorder="1" applyAlignment="1">
      <alignment horizontal="center" vertical="center"/>
      <protection/>
    </xf>
    <xf numFmtId="4" fontId="17" fillId="36" borderId="10" xfId="0" applyNumberFormat="1" applyFont="1" applyFill="1" applyBorder="1" applyAlignment="1">
      <alignment horizontal="center" vertical="center" wrapText="1"/>
    </xf>
    <xf numFmtId="4" fontId="2" fillId="36" borderId="10" xfId="0" applyNumberFormat="1" applyFont="1" applyFill="1" applyBorder="1" applyAlignment="1">
      <alignment horizontal="center" vertical="center"/>
    </xf>
    <xf numFmtId="0" fontId="41" fillId="36" borderId="0" xfId="0" applyFont="1" applyFill="1" applyAlignment="1">
      <alignment/>
    </xf>
    <xf numFmtId="0" fontId="2" fillId="36" borderId="0" xfId="0" applyFont="1" applyFill="1" applyAlignment="1">
      <alignment horizontal="justify" vertical="center" wrapText="1"/>
    </xf>
    <xf numFmtId="0" fontId="0" fillId="36" borderId="0" xfId="0" applyFill="1" applyAlignment="1">
      <alignment/>
    </xf>
    <xf numFmtId="4" fontId="3" fillId="0" borderId="0" xfId="57" applyNumberFormat="1">
      <alignment/>
      <protection/>
    </xf>
    <xf numFmtId="0" fontId="78" fillId="0" borderId="0" xfId="0" applyFont="1" applyFill="1" applyBorder="1" applyAlignment="1">
      <alignment horizontal="center" vertical="center" wrapText="1"/>
    </xf>
    <xf numFmtId="2" fontId="17" fillId="0" borderId="10" xfId="49" applyNumberFormat="1" applyFont="1" applyFill="1" applyBorder="1" applyAlignment="1">
      <alignment horizontal="center" vertical="center" wrapText="1"/>
    </xf>
    <xf numFmtId="0" fontId="79" fillId="33" borderId="0" xfId="59" applyFont="1" applyFill="1" applyAlignment="1">
      <alignment horizontal="justify" vertical="center" wrapText="1"/>
    </xf>
    <xf numFmtId="4" fontId="79" fillId="33" borderId="10" xfId="59" applyNumberFormat="1" applyFont="1" applyFill="1" applyBorder="1" applyAlignment="1">
      <alignment horizontal="center" vertical="center" wrapText="1"/>
    </xf>
    <xf numFmtId="0" fontId="77" fillId="36" borderId="10" xfId="59" applyFont="1" applyFill="1" applyBorder="1" applyAlignment="1">
      <alignment horizontal="center" vertical="center" wrapText="1"/>
    </xf>
    <xf numFmtId="0" fontId="2" fillId="33" borderId="10" xfId="59" applyFont="1" applyFill="1" applyBorder="1" applyAlignment="1">
      <alignment horizontal="center" vertical="center" wrapText="1"/>
    </xf>
    <xf numFmtId="2" fontId="2" fillId="33" borderId="10" xfId="59" applyNumberFormat="1" applyFont="1" applyFill="1" applyBorder="1" applyAlignment="1">
      <alignment horizontal="center" vertical="center" wrapText="1"/>
    </xf>
    <xf numFmtId="0" fontId="2" fillId="36" borderId="10" xfId="59" applyFont="1" applyFill="1" applyBorder="1" applyAlignment="1">
      <alignment horizontal="center" vertical="center" wrapText="1"/>
    </xf>
    <xf numFmtId="0" fontId="87" fillId="36" borderId="0" xfId="0" applyFont="1" applyFill="1" applyBorder="1" applyAlignment="1">
      <alignment horizontal="center" vertical="center"/>
    </xf>
    <xf numFmtId="2" fontId="87" fillId="36" borderId="0" xfId="0" applyNumberFormat="1" applyFont="1" applyFill="1" applyBorder="1" applyAlignment="1">
      <alignment horizontal="center" vertical="center"/>
    </xf>
    <xf numFmtId="0" fontId="61" fillId="33" borderId="0" xfId="0" applyFont="1" applyFill="1" applyAlignment="1">
      <alignment/>
    </xf>
    <xf numFmtId="0" fontId="79" fillId="0" borderId="0" xfId="0" applyFont="1" applyFill="1" applyAlignment="1">
      <alignment horizontal="justify" vertical="center" wrapText="1"/>
    </xf>
    <xf numFmtId="0" fontId="79" fillId="33" borderId="10" xfId="0" applyFont="1" applyFill="1" applyBorder="1" applyAlignment="1">
      <alignment horizontal="justify" vertical="center" wrapText="1"/>
    </xf>
    <xf numFmtId="0" fontId="2" fillId="0" borderId="0" xfId="0" applyFont="1" applyFill="1" applyBorder="1" applyAlignment="1">
      <alignment wrapText="1"/>
    </xf>
    <xf numFmtId="0" fontId="7" fillId="0" borderId="22" xfId="0" applyFont="1" applyBorder="1" applyAlignment="1">
      <alignment horizontal="center" vertical="center" wrapText="1"/>
    </xf>
    <xf numFmtId="164" fontId="2" fillId="0" borderId="10" xfId="0" applyNumberFormat="1" applyFont="1" applyFill="1" applyBorder="1" applyAlignment="1">
      <alignment horizontal="center" vertical="top" wrapText="1"/>
    </xf>
    <xf numFmtId="0" fontId="79" fillId="33" borderId="12" xfId="0" applyFont="1" applyFill="1" applyBorder="1" applyAlignment="1">
      <alignment horizontal="justify" vertical="center" wrapText="1"/>
    </xf>
    <xf numFmtId="0" fontId="7" fillId="0" borderId="37" xfId="54" applyNumberFormat="1" applyFont="1" applyFill="1" applyBorder="1" applyAlignment="1" applyProtection="1">
      <alignment vertical="top" wrapText="1"/>
      <protection/>
    </xf>
    <xf numFmtId="0" fontId="7" fillId="0" borderId="37" xfId="0" applyFont="1" applyFill="1" applyBorder="1" applyAlignment="1">
      <alignment vertical="center" wrapText="1"/>
    </xf>
    <xf numFmtId="0" fontId="77" fillId="33" borderId="0" xfId="60" applyFont="1" applyFill="1" applyAlignment="1">
      <alignment horizontal="justify" vertical="center" wrapText="1"/>
    </xf>
    <xf numFmtId="2" fontId="17" fillId="36" borderId="33" xfId="0" applyNumberFormat="1" applyFont="1" applyFill="1" applyBorder="1" applyAlignment="1">
      <alignment horizontal="center" vertical="center" wrapText="1"/>
    </xf>
    <xf numFmtId="0" fontId="79" fillId="33" borderId="0" xfId="60" applyFont="1" applyFill="1" applyAlignment="1">
      <alignment horizontal="justify" vertical="center" wrapText="1"/>
    </xf>
    <xf numFmtId="0" fontId="92" fillId="33" borderId="0" xfId="60" applyFont="1" applyFill="1" applyAlignment="1">
      <alignment horizontal="center" vertical="center" wrapText="1"/>
    </xf>
    <xf numFmtId="2" fontId="93" fillId="33" borderId="10" xfId="0" applyNumberFormat="1" applyFont="1" applyFill="1" applyBorder="1" applyAlignment="1">
      <alignment horizontal="center" vertical="center" wrapText="1"/>
    </xf>
    <xf numFmtId="0" fontId="2" fillId="0" borderId="25" xfId="57" applyFont="1" applyBorder="1" applyAlignment="1">
      <alignment vertical="top"/>
      <protection/>
    </xf>
    <xf numFmtId="168" fontId="2" fillId="0" borderId="10" xfId="57" applyNumberFormat="1" applyFont="1" applyBorder="1" applyAlignment="1">
      <alignment horizontal="center" vertical="center"/>
      <protection/>
    </xf>
    <xf numFmtId="0" fontId="13" fillId="33" borderId="24" xfId="57" applyFont="1" applyFill="1" applyBorder="1" applyAlignment="1">
      <alignment horizontal="center" vertical="center" wrapText="1"/>
      <protection/>
    </xf>
    <xf numFmtId="5" fontId="12" fillId="0" borderId="0" xfId="0" applyNumberFormat="1" applyFont="1" applyFill="1" applyAlignment="1">
      <alignment vertical="center" wrapText="1"/>
    </xf>
    <xf numFmtId="0" fontId="14" fillId="0" borderId="10" xfId="59" applyFont="1" applyFill="1" applyBorder="1" applyAlignment="1">
      <alignment vertical="top" wrapText="1"/>
    </xf>
    <xf numFmtId="4" fontId="17" fillId="0" borderId="10" xfId="59" applyNumberFormat="1" applyFont="1" applyFill="1" applyBorder="1" applyAlignment="1">
      <alignment horizontal="center" vertical="center" wrapText="1"/>
    </xf>
    <xf numFmtId="0" fontId="14" fillId="36" borderId="12" xfId="56" applyFont="1" applyFill="1" applyBorder="1" applyAlignment="1">
      <alignment vertical="top" wrapText="1"/>
      <protection/>
    </xf>
    <xf numFmtId="0" fontId="17" fillId="0" borderId="10" xfId="0" applyFont="1" applyFill="1" applyBorder="1" applyAlignment="1">
      <alignment horizontal="justify" vertical="top" wrapText="1"/>
    </xf>
    <xf numFmtId="0" fontId="14" fillId="0" borderId="12" xfId="0" applyFont="1" applyFill="1" applyBorder="1" applyAlignment="1">
      <alignment horizontal="justify" vertical="top" wrapText="1"/>
    </xf>
    <xf numFmtId="0" fontId="14" fillId="37" borderId="38" xfId="56" applyFont="1" applyFill="1" applyBorder="1" applyAlignment="1">
      <alignment vertical="top" wrapText="1"/>
      <protection/>
    </xf>
    <xf numFmtId="4" fontId="17" fillId="0" borderId="38" xfId="59" applyNumberFormat="1" applyFont="1" applyFill="1" applyBorder="1" applyAlignment="1" applyProtection="1">
      <alignment horizontal="center" vertical="center" wrapText="1"/>
      <protection/>
    </xf>
    <xf numFmtId="0" fontId="14" fillId="37" borderId="35" xfId="56" applyFont="1" applyFill="1" applyBorder="1" applyAlignment="1">
      <alignment vertical="top" wrapText="1"/>
      <protection/>
    </xf>
    <xf numFmtId="4" fontId="17" fillId="0" borderId="35" xfId="59" applyNumberFormat="1" applyFont="1" applyFill="1" applyBorder="1" applyAlignment="1" applyProtection="1">
      <alignment horizontal="center" vertical="center" wrapText="1"/>
      <protection/>
    </xf>
    <xf numFmtId="0" fontId="14" fillId="37" borderId="39" xfId="56" applyFont="1" applyFill="1" applyBorder="1" applyAlignment="1">
      <alignment vertical="top" wrapText="1"/>
      <protection/>
    </xf>
    <xf numFmtId="0" fontId="14" fillId="0" borderId="12" xfId="0" applyFont="1" applyFill="1" applyBorder="1" applyAlignment="1">
      <alignment vertical="top" wrapText="1"/>
    </xf>
    <xf numFmtId="0" fontId="14" fillId="0" borderId="10" xfId="0" applyFont="1" applyFill="1" applyBorder="1" applyAlignment="1">
      <alignment vertical="top" wrapText="1"/>
    </xf>
    <xf numFmtId="0" fontId="14" fillId="0" borderId="10" xfId="0" applyFont="1" applyFill="1" applyBorder="1" applyAlignment="1">
      <alignment horizontal="justify" vertical="top" wrapText="1"/>
    </xf>
    <xf numFmtId="0" fontId="14" fillId="34" borderId="12" xfId="0" applyFont="1" applyFill="1" applyBorder="1" applyAlignment="1" quotePrefix="1">
      <alignment vertical="top" wrapText="1"/>
    </xf>
    <xf numFmtId="0" fontId="7" fillId="0" borderId="10" xfId="0" applyFont="1" applyFill="1" applyBorder="1" applyAlignment="1">
      <alignment horizontal="center" vertical="top" wrapText="1"/>
    </xf>
    <xf numFmtId="0" fontId="79" fillId="33"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164" fontId="9" fillId="0" borderId="0" xfId="0" applyNumberFormat="1" applyFont="1" applyFill="1" applyBorder="1" applyAlignment="1">
      <alignment vertical="top" wrapText="1"/>
    </xf>
    <xf numFmtId="0" fontId="3" fillId="0" borderId="0" xfId="0" applyFont="1" applyBorder="1" applyAlignment="1">
      <alignment wrapText="1"/>
    </xf>
    <xf numFmtId="0" fontId="9" fillId="34" borderId="12" xfId="0" applyFont="1" applyFill="1" applyBorder="1" applyAlignment="1">
      <alignment vertical="top" wrapText="1"/>
    </xf>
    <xf numFmtId="0" fontId="0" fillId="0" borderId="13" xfId="0" applyBorder="1" applyAlignment="1">
      <alignment vertical="top" wrapText="1"/>
    </xf>
    <xf numFmtId="0" fontId="2" fillId="0" borderId="12" xfId="0" applyFont="1" applyFill="1" applyBorder="1" applyAlignment="1">
      <alignment vertical="top" wrapText="1"/>
    </xf>
    <xf numFmtId="0" fontId="7" fillId="0" borderId="13" xfId="0" applyFont="1" applyFill="1" applyBorder="1" applyAlignment="1">
      <alignment vertical="top" wrapText="1"/>
    </xf>
    <xf numFmtId="0" fontId="5" fillId="0" borderId="12" xfId="0" applyFont="1" applyFill="1" applyBorder="1" applyAlignment="1">
      <alignment vertical="top" wrapText="1"/>
    </xf>
    <xf numFmtId="164" fontId="9" fillId="0" borderId="12" xfId="0" applyNumberFormat="1" applyFont="1" applyFill="1" applyBorder="1" applyAlignment="1">
      <alignment vertical="top" wrapText="1"/>
    </xf>
    <xf numFmtId="164" fontId="5" fillId="0" borderId="12" xfId="0" applyNumberFormat="1" applyFont="1" applyFill="1" applyBorder="1" applyAlignment="1">
      <alignment vertical="top" wrapText="1"/>
    </xf>
    <xf numFmtId="0" fontId="79" fillId="33" borderId="12" xfId="0" applyFont="1" applyFill="1" applyBorder="1" applyAlignment="1">
      <alignment vertical="top" wrapText="1"/>
    </xf>
    <xf numFmtId="0" fontId="79" fillId="33" borderId="13" xfId="0" applyFont="1" applyFill="1" applyBorder="1" applyAlignment="1">
      <alignment vertical="top" wrapText="1"/>
    </xf>
    <xf numFmtId="0" fontId="8" fillId="0" borderId="13" xfId="0" applyFont="1" applyFill="1" applyBorder="1" applyAlignment="1">
      <alignment vertical="center" wrapText="1"/>
    </xf>
    <xf numFmtId="0" fontId="78" fillId="0" borderId="0" xfId="0" applyFont="1" applyFill="1" applyBorder="1" applyAlignment="1">
      <alignment horizontal="center" vertical="justify" wrapText="1"/>
    </xf>
    <xf numFmtId="2" fontId="17" fillId="36" borderId="10" xfId="0" applyNumberFormat="1" applyFont="1" applyFill="1" applyBorder="1" applyAlignment="1">
      <alignment horizontal="center" vertical="center" wrapText="1"/>
    </xf>
    <xf numFmtId="0" fontId="13" fillId="36" borderId="0" xfId="57" applyFont="1" applyFill="1" applyBorder="1" applyAlignment="1">
      <alignment horizontal="center"/>
      <protection/>
    </xf>
    <xf numFmtId="168" fontId="13" fillId="36" borderId="0" xfId="57" applyNumberFormat="1" applyFont="1" applyFill="1" applyBorder="1" applyAlignment="1">
      <alignment horizontal="center"/>
      <protection/>
    </xf>
    <xf numFmtId="169" fontId="13" fillId="36" borderId="0" xfId="57" applyNumberFormat="1" applyFont="1" applyFill="1" applyBorder="1" applyAlignment="1">
      <alignment horizontal="center"/>
      <protection/>
    </xf>
    <xf numFmtId="3" fontId="13" fillId="36" borderId="0" xfId="57" applyNumberFormat="1" applyFont="1" applyFill="1" applyBorder="1" applyAlignment="1">
      <alignment horizontal="center"/>
      <protection/>
    </xf>
    <xf numFmtId="0" fontId="14" fillId="36" borderId="0" xfId="57" applyFont="1" applyFill="1" applyBorder="1">
      <alignment/>
      <protection/>
    </xf>
    <xf numFmtId="2" fontId="17" fillId="36" borderId="10" xfId="0" applyNumberFormat="1" applyFont="1" applyFill="1" applyBorder="1" applyAlignment="1">
      <alignment horizontal="center" vertical="center" wrapText="1"/>
    </xf>
    <xf numFmtId="0" fontId="13" fillId="36" borderId="0" xfId="0" applyFont="1" applyFill="1" applyBorder="1" applyAlignment="1">
      <alignment horizontal="center"/>
    </xf>
    <xf numFmtId="4" fontId="13" fillId="36" borderId="0" xfId="0" applyNumberFormat="1" applyFont="1" applyFill="1" applyBorder="1" applyAlignment="1">
      <alignment horizontal="center"/>
    </xf>
    <xf numFmtId="3" fontId="6" fillId="36" borderId="0" xfId="0" applyNumberFormat="1" applyFont="1" applyFill="1" applyBorder="1" applyAlignment="1">
      <alignment horizontal="center"/>
    </xf>
    <xf numFmtId="0" fontId="13" fillId="36" borderId="40" xfId="57" applyFont="1" applyFill="1" applyBorder="1" applyAlignment="1">
      <alignment horizontal="center"/>
      <protection/>
    </xf>
    <xf numFmtId="168" fontId="13" fillId="36" borderId="40" xfId="57" applyNumberFormat="1" applyFont="1" applyFill="1" applyBorder="1" applyAlignment="1">
      <alignment horizontal="center"/>
      <protection/>
    </xf>
    <xf numFmtId="3" fontId="13" fillId="36" borderId="40" xfId="57" applyNumberFormat="1" applyFont="1" applyFill="1" applyBorder="1" applyAlignment="1">
      <alignment horizontal="center"/>
      <protection/>
    </xf>
    <xf numFmtId="0" fontId="14" fillId="36" borderId="0" xfId="57" applyFont="1" applyFill="1">
      <alignment/>
      <protection/>
    </xf>
    <xf numFmtId="2" fontId="17" fillId="36" borderId="10" xfId="56" applyNumberFormat="1" applyFont="1" applyFill="1" applyBorder="1" applyAlignment="1">
      <alignment horizontal="center" vertical="center" wrapText="1"/>
      <protection/>
    </xf>
    <xf numFmtId="2" fontId="17" fillId="36" borderId="10" xfId="0" applyNumberFormat="1"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0" fillId="0" borderId="10" xfId="0" applyBorder="1" applyAlignment="1">
      <alignment horizontal="center" wrapText="1"/>
    </xf>
    <xf numFmtId="0" fontId="79"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79" fillId="33" borderId="10" xfId="0" applyFont="1" applyFill="1" applyBorder="1" applyAlignment="1">
      <alignment horizontal="left" vertical="center" wrapText="1"/>
    </xf>
    <xf numFmtId="164" fontId="79" fillId="33" borderId="12" xfId="0" applyNumberFormat="1" applyFont="1" applyFill="1" applyBorder="1" applyAlignment="1">
      <alignment vertical="center" wrapText="1"/>
    </xf>
    <xf numFmtId="0" fontId="7" fillId="0" borderId="0" xfId="0" applyFont="1" applyFill="1" applyAlignment="1">
      <alignment horizontal="justify" vertical="center" wrapText="1"/>
    </xf>
    <xf numFmtId="2" fontId="2" fillId="0" borderId="10" xfId="0" applyNumberFormat="1" applyFont="1" applyBorder="1" applyAlignment="1">
      <alignment horizontal="center" wrapText="1"/>
    </xf>
    <xf numFmtId="2" fontId="7" fillId="0" borderId="10" xfId="0" applyNumberFormat="1" applyFont="1" applyFill="1" applyBorder="1" applyAlignment="1">
      <alignment horizontal="center" vertical="top" wrapText="1"/>
    </xf>
    <xf numFmtId="2" fontId="0" fillId="0" borderId="10" xfId="0" applyNumberFormat="1" applyFont="1" applyBorder="1" applyAlignment="1">
      <alignment horizontal="center" wrapText="1"/>
    </xf>
    <xf numFmtId="2" fontId="79" fillId="33" borderId="10" xfId="0" applyNumberFormat="1" applyFont="1" applyFill="1" applyBorder="1" applyAlignment="1">
      <alignment horizontal="center" vertical="top" wrapText="1"/>
    </xf>
    <xf numFmtId="2" fontId="79" fillId="33" borderId="10" xfId="0" applyNumberFormat="1" applyFont="1" applyFill="1" applyBorder="1" applyAlignment="1">
      <alignment horizontal="center" vertical="center" wrapText="1"/>
    </xf>
    <xf numFmtId="0" fontId="93" fillId="33" borderId="10" xfId="59" applyFont="1" applyFill="1" applyBorder="1" applyAlignment="1">
      <alignment horizontal="center" vertical="center" wrapText="1"/>
    </xf>
    <xf numFmtId="0" fontId="17" fillId="0" borderId="0" xfId="0" applyFont="1" applyFill="1" applyAlignment="1">
      <alignment horizontal="center" vertical="center" wrapText="1"/>
    </xf>
    <xf numFmtId="0" fontId="94" fillId="33" borderId="10" xfId="59" applyFont="1" applyFill="1" applyBorder="1" applyAlignment="1">
      <alignment horizontal="center" vertical="center" wrapText="1"/>
    </xf>
    <xf numFmtId="0" fontId="17" fillId="0" borderId="0" xfId="59" applyFont="1" applyFill="1" applyAlignment="1">
      <alignment horizontal="justify" vertical="center" wrapText="1"/>
    </xf>
    <xf numFmtId="4" fontId="17" fillId="0" borderId="10" xfId="0" applyNumberFormat="1" applyFont="1" applyFill="1" applyBorder="1" applyAlignment="1">
      <alignment horizontal="center" vertical="center" wrapText="1"/>
    </xf>
    <xf numFmtId="0" fontId="3" fillId="0" borderId="41" xfId="57" applyBorder="1">
      <alignment/>
      <protection/>
    </xf>
    <xf numFmtId="0" fontId="14" fillId="0" borderId="42" xfId="57" applyFont="1" applyBorder="1">
      <alignment/>
      <protection/>
    </xf>
    <xf numFmtId="0" fontId="6" fillId="0" borderId="0" xfId="57" applyFont="1" applyBorder="1" applyAlignment="1">
      <alignment horizontal="center" vertical="center"/>
      <protection/>
    </xf>
    <xf numFmtId="0" fontId="3" fillId="0" borderId="0" xfId="57" applyBorder="1">
      <alignment/>
      <protection/>
    </xf>
    <xf numFmtId="0" fontId="14" fillId="0" borderId="0" xfId="57" applyFont="1" applyBorder="1">
      <alignment/>
      <protection/>
    </xf>
    <xf numFmtId="0" fontId="6" fillId="7" borderId="43" xfId="57" applyFont="1" applyFill="1" applyBorder="1" applyAlignment="1">
      <alignment horizontal="center" vertical="center" wrapText="1"/>
      <protection/>
    </xf>
    <xf numFmtId="0" fontId="3" fillId="0" borderId="0" xfId="57" applyAlignment="1">
      <alignment horizontal="right"/>
      <protection/>
    </xf>
    <xf numFmtId="0" fontId="14" fillId="0" borderId="0" xfId="57" applyFont="1" applyAlignment="1">
      <alignment horizontal="right"/>
      <protection/>
    </xf>
    <xf numFmtId="0" fontId="6" fillId="0" borderId="0" xfId="57" applyFont="1" applyAlignment="1">
      <alignment horizontal="right"/>
      <protection/>
    </xf>
    <xf numFmtId="168" fontId="2" fillId="36" borderId="41" xfId="57" applyNumberFormat="1" applyFont="1" applyFill="1" applyBorder="1" applyAlignment="1">
      <alignment horizontal="center" vertical="center"/>
      <protection/>
    </xf>
    <xf numFmtId="0" fontId="6" fillId="0" borderId="0" xfId="57" applyFont="1" applyAlignment="1">
      <alignment horizontal="right" vertical="center"/>
      <protection/>
    </xf>
    <xf numFmtId="0" fontId="19" fillId="33" borderId="10" xfId="56" applyFont="1" applyFill="1" applyBorder="1" applyAlignment="1">
      <alignment horizontal="center" vertical="center" wrapText="1"/>
      <protection/>
    </xf>
    <xf numFmtId="2" fontId="17" fillId="36" borderId="1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54" applyNumberFormat="1" applyFont="1" applyFill="1" applyBorder="1" applyAlignment="1" applyProtection="1">
      <alignment vertical="top" wrapText="1"/>
      <protection/>
    </xf>
    <xf numFmtId="4" fontId="2" fillId="0" borderId="10" xfId="59" applyNumberFormat="1" applyFont="1" applyFill="1" applyBorder="1" applyAlignment="1" applyProtection="1">
      <alignment horizontal="center" vertical="center" wrapText="1"/>
      <protection/>
    </xf>
    <xf numFmtId="185" fontId="2" fillId="36" borderId="26" xfId="62" applyNumberFormat="1" applyFont="1" applyFill="1" applyBorder="1" applyAlignment="1">
      <alignment horizontal="center" vertical="center"/>
    </xf>
    <xf numFmtId="187" fontId="2" fillId="0" borderId="10" xfId="57" applyNumberFormat="1" applyFont="1" applyBorder="1" applyAlignment="1">
      <alignment horizontal="center"/>
      <protection/>
    </xf>
    <xf numFmtId="187" fontId="13" fillId="33" borderId="30" xfId="57" applyNumberFormat="1" applyFont="1" applyFill="1" applyBorder="1" applyAlignment="1">
      <alignment horizontal="center"/>
      <protection/>
    </xf>
    <xf numFmtId="3" fontId="4" fillId="33" borderId="10" xfId="0" applyNumberFormat="1" applyFont="1" applyFill="1" applyBorder="1" applyAlignment="1">
      <alignment horizontal="center"/>
    </xf>
    <xf numFmtId="2" fontId="17" fillId="0" borderId="33" xfId="0" applyNumberFormat="1" applyFont="1" applyFill="1" applyBorder="1" applyAlignment="1">
      <alignment horizontal="center" vertical="center" wrapText="1"/>
    </xf>
    <xf numFmtId="2" fontId="2" fillId="0" borderId="20" xfId="59" applyNumberFormat="1" applyFont="1" applyFill="1" applyBorder="1" applyAlignment="1">
      <alignment horizontal="center" vertical="center" wrapText="1"/>
    </xf>
    <xf numFmtId="3" fontId="18" fillId="36" borderId="10" xfId="57" applyNumberFormat="1" applyFont="1" applyFill="1" applyBorder="1" applyAlignment="1">
      <alignment horizontal="center" vertical="center"/>
      <protection/>
    </xf>
    <xf numFmtId="0" fontId="95" fillId="0" borderId="0" xfId="0" applyFont="1" applyFill="1" applyBorder="1" applyAlignment="1">
      <alignment horizontal="center" vertical="center" wrapText="1"/>
    </xf>
    <xf numFmtId="0" fontId="85" fillId="0" borderId="0" xfId="57" applyFont="1" applyBorder="1" applyAlignment="1">
      <alignment horizontal="center"/>
      <protection/>
    </xf>
    <xf numFmtId="0" fontId="16" fillId="33" borderId="10" xfId="56" applyFont="1" applyFill="1" applyBorder="1" applyAlignment="1">
      <alignment horizontal="center" vertical="center" wrapText="1"/>
      <protection/>
    </xf>
    <xf numFmtId="0" fontId="4" fillId="33" borderId="12" xfId="0" applyFont="1" applyFill="1" applyBorder="1" applyAlignment="1">
      <alignment horizontal="center"/>
    </xf>
    <xf numFmtId="0" fontId="4" fillId="33" borderId="22" xfId="0" applyFont="1" applyFill="1" applyBorder="1" applyAlignment="1">
      <alignment horizontal="center"/>
    </xf>
    <xf numFmtId="0" fontId="85" fillId="0" borderId="0" xfId="0" applyFont="1" applyBorder="1" applyAlignment="1">
      <alignment horizontal="center"/>
    </xf>
    <xf numFmtId="0" fontId="13" fillId="33" borderId="12" xfId="0" applyFont="1" applyFill="1" applyBorder="1" applyAlignment="1">
      <alignment horizontal="center"/>
    </xf>
    <xf numFmtId="0" fontId="13" fillId="33" borderId="22" xfId="0" applyFont="1" applyFill="1" applyBorder="1" applyAlignment="1">
      <alignment horizontal="center"/>
    </xf>
    <xf numFmtId="0" fontId="85" fillId="0" borderId="0" xfId="0" applyFont="1" applyFill="1" applyBorder="1" applyAlignment="1">
      <alignment horizontal="center" vertical="center" wrapText="1"/>
    </xf>
    <xf numFmtId="0" fontId="96" fillId="0" borderId="0" xfId="0" applyFont="1" applyBorder="1" applyAlignment="1">
      <alignment horizontal="center"/>
    </xf>
    <xf numFmtId="0" fontId="86" fillId="33" borderId="44" xfId="0" applyFont="1" applyFill="1" applyBorder="1" applyAlignment="1">
      <alignment horizontal="center" vertical="center" wrapText="1"/>
    </xf>
    <xf numFmtId="0" fontId="86" fillId="33" borderId="45" xfId="0" applyFont="1" applyFill="1" applyBorder="1" applyAlignment="1">
      <alignment horizontal="center" vertical="center" wrapText="1"/>
    </xf>
    <xf numFmtId="0" fontId="86" fillId="33" borderId="46"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86" fillId="33" borderId="24" xfId="0" applyFont="1" applyFill="1" applyBorder="1" applyAlignment="1">
      <alignment horizontal="center" vertical="center" wrapText="1"/>
    </xf>
    <xf numFmtId="0" fontId="86" fillId="33" borderId="47" xfId="0" applyFont="1" applyFill="1" applyBorder="1" applyAlignment="1">
      <alignment horizontal="center" vertical="center" wrapText="1"/>
    </xf>
    <xf numFmtId="0" fontId="86" fillId="33" borderId="48" xfId="0" applyFont="1" applyFill="1" applyBorder="1" applyAlignment="1">
      <alignment horizontal="center" vertical="center" wrapText="1"/>
    </xf>
    <xf numFmtId="0" fontId="21" fillId="0" borderId="40" xfId="57" applyFont="1" applyBorder="1" applyAlignment="1">
      <alignment horizontal="center"/>
      <protection/>
    </xf>
    <xf numFmtId="0" fontId="21" fillId="0" borderId="49" xfId="57" applyFont="1" applyBorder="1" applyAlignment="1">
      <alignment horizontal="center"/>
      <protection/>
    </xf>
    <xf numFmtId="0" fontId="21" fillId="0" borderId="50" xfId="57" applyFont="1" applyBorder="1" applyAlignment="1">
      <alignment horizontal="center"/>
      <protection/>
    </xf>
    <xf numFmtId="0" fontId="21" fillId="0" borderId="51" xfId="57" applyFont="1" applyBorder="1" applyAlignment="1">
      <alignment horizontal="center"/>
      <protection/>
    </xf>
    <xf numFmtId="0" fontId="4" fillId="33" borderId="12" xfId="0" applyFont="1" applyFill="1" applyBorder="1" applyAlignment="1">
      <alignment horizontal="left" vertical="top" wrapText="1"/>
    </xf>
    <xf numFmtId="0" fontId="4" fillId="33" borderId="22" xfId="0" applyFont="1" applyFill="1" applyBorder="1" applyAlignment="1">
      <alignment horizontal="left" vertical="top" wrapText="1"/>
    </xf>
    <xf numFmtId="0" fontId="78" fillId="0" borderId="0" xfId="0" applyFont="1" applyFill="1" applyBorder="1" applyAlignment="1">
      <alignment horizontal="center" vertical="justify"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2" xfId="0" applyFont="1" applyFill="1" applyBorder="1" applyAlignment="1">
      <alignment horizontal="center" vertical="top" wrapText="1"/>
    </xf>
    <xf numFmtId="0" fontId="4" fillId="33" borderId="12" xfId="0" applyFont="1" applyFill="1" applyBorder="1" applyAlignment="1">
      <alignment vertical="top" wrapText="1"/>
    </xf>
    <xf numFmtId="0" fontId="11" fillId="33" borderId="22" xfId="0" applyFont="1" applyFill="1" applyBorder="1" applyAlignment="1">
      <alignment/>
    </xf>
    <xf numFmtId="0" fontId="79" fillId="33" borderId="12" xfId="54" applyFont="1" applyFill="1" applyBorder="1" applyAlignment="1">
      <alignment horizontal="left" vertical="top" wrapText="1"/>
    </xf>
    <xf numFmtId="0" fontId="79" fillId="33" borderId="22" xfId="54" applyFont="1" applyFill="1" applyBorder="1" applyAlignment="1">
      <alignment horizontal="left" vertical="top" wrapText="1"/>
    </xf>
    <xf numFmtId="0" fontId="9" fillId="34" borderId="12" xfId="54" applyFont="1" applyFill="1" applyBorder="1" applyAlignment="1">
      <alignment horizontal="left" vertical="top" wrapText="1"/>
    </xf>
    <xf numFmtId="0" fontId="9" fillId="34" borderId="22" xfId="54" applyFont="1" applyFill="1" applyBorder="1" applyAlignment="1">
      <alignment horizontal="left" vertical="top" wrapText="1"/>
    </xf>
    <xf numFmtId="0" fontId="4" fillId="33" borderId="10" xfId="0" applyFont="1" applyFill="1" applyBorder="1" applyAlignment="1">
      <alignment horizontal="left" vertical="top" wrapText="1"/>
    </xf>
    <xf numFmtId="0" fontId="79" fillId="33" borderId="10" xfId="0" applyFont="1" applyFill="1" applyBorder="1" applyAlignment="1">
      <alignment vertical="top" wrapText="1"/>
    </xf>
    <xf numFmtId="0" fontId="58" fillId="33" borderId="10" xfId="0" applyFont="1" applyFill="1" applyBorder="1" applyAlignment="1">
      <alignment vertical="top" wrapText="1"/>
    </xf>
    <xf numFmtId="0" fontId="7" fillId="0" borderId="12"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0" xfId="0" applyFont="1" applyFill="1" applyBorder="1" applyAlignment="1">
      <alignment horizontal="left" vertical="top" wrapText="1"/>
    </xf>
    <xf numFmtId="0" fontId="77" fillId="33" borderId="10" xfId="0" applyFont="1" applyFill="1" applyBorder="1" applyAlignment="1">
      <alignment horizontal="justify" vertical="center" wrapText="1"/>
    </xf>
    <xf numFmtId="0" fontId="97" fillId="33" borderId="12" xfId="0" applyFont="1" applyFill="1" applyBorder="1" applyAlignment="1">
      <alignment horizontal="center" vertical="center" wrapText="1"/>
    </xf>
    <xf numFmtId="0" fontId="86" fillId="33" borderId="12" xfId="59" applyFont="1" applyFill="1" applyBorder="1" applyAlignment="1">
      <alignment horizontal="center" vertical="center" wrapText="1"/>
    </xf>
    <xf numFmtId="0" fontId="86" fillId="33" borderId="13" xfId="59" applyFont="1" applyFill="1" applyBorder="1" applyAlignment="1">
      <alignment horizontal="center" vertical="center" wrapText="1"/>
    </xf>
    <xf numFmtId="0" fontId="7" fillId="0" borderId="10" xfId="59" applyFont="1" applyFill="1" applyBorder="1" applyAlignment="1">
      <alignment vertical="top" wrapText="1"/>
    </xf>
    <xf numFmtId="0" fontId="6" fillId="0" borderId="10" xfId="59" applyFont="1" applyFill="1" applyBorder="1" applyAlignment="1">
      <alignment vertical="top" wrapText="1"/>
    </xf>
    <xf numFmtId="0" fontId="77" fillId="33" borderId="12" xfId="0" applyFont="1" applyFill="1" applyBorder="1" applyAlignment="1">
      <alignment horizontal="center" vertical="top" wrapText="1"/>
    </xf>
    <xf numFmtId="0" fontId="77" fillId="33" borderId="22" xfId="0" applyFont="1" applyFill="1" applyBorder="1" applyAlignment="1">
      <alignment horizontal="center" vertical="top" wrapText="1"/>
    </xf>
    <xf numFmtId="0" fontId="7" fillId="0" borderId="10" xfId="0" applyFont="1" applyFill="1" applyBorder="1" applyAlignment="1">
      <alignment vertical="top" wrapText="1"/>
    </xf>
    <xf numFmtId="0" fontId="4" fillId="33" borderId="10" xfId="59" applyFont="1" applyFill="1" applyBorder="1" applyAlignment="1">
      <alignment vertical="center" wrapText="1"/>
    </xf>
    <xf numFmtId="0" fontId="79" fillId="33" borderId="10" xfId="59" applyFont="1" applyFill="1" applyBorder="1" applyAlignment="1">
      <alignment vertical="top" wrapText="1"/>
    </xf>
    <xf numFmtId="0" fontId="77" fillId="33" borderId="10" xfId="59" applyFont="1" applyFill="1" applyBorder="1" applyAlignment="1">
      <alignment vertical="top" wrapText="1"/>
    </xf>
    <xf numFmtId="0" fontId="5" fillId="34" borderId="10" xfId="59" applyFont="1" applyFill="1" applyBorder="1" applyAlignment="1">
      <alignment vertical="top" wrapText="1"/>
    </xf>
    <xf numFmtId="0" fontId="6" fillId="0" borderId="10" xfId="59" applyFont="1" applyBorder="1" applyAlignment="1">
      <alignment vertical="top" wrapText="1"/>
    </xf>
    <xf numFmtId="0" fontId="7" fillId="34" borderId="10" xfId="59" applyFont="1" applyFill="1" applyBorder="1" applyAlignment="1">
      <alignment vertical="top"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78" fillId="0" borderId="0" xfId="59" applyFont="1" applyFill="1" applyBorder="1" applyAlignment="1">
      <alignment horizontal="center" vertical="center" wrapText="1"/>
    </xf>
    <xf numFmtId="0" fontId="78" fillId="0" borderId="32" xfId="59" applyFont="1" applyFill="1" applyBorder="1" applyAlignment="1">
      <alignment horizontal="center" vertical="center" wrapText="1"/>
    </xf>
    <xf numFmtId="0" fontId="4" fillId="33" borderId="17" xfId="59" applyFont="1" applyFill="1" applyBorder="1" applyAlignment="1">
      <alignment horizontal="center" vertical="center" wrapText="1"/>
    </xf>
    <xf numFmtId="0" fontId="4" fillId="33" borderId="33" xfId="59" applyFont="1" applyFill="1" applyBorder="1" applyAlignment="1">
      <alignment horizontal="center" vertical="center" wrapText="1"/>
    </xf>
    <xf numFmtId="4" fontId="17" fillId="0" borderId="10" xfId="49" applyNumberFormat="1" applyFont="1" applyFill="1" applyBorder="1" applyAlignment="1">
      <alignment horizontal="center" vertical="center" wrapText="1"/>
    </xf>
    <xf numFmtId="4" fontId="93" fillId="33" borderId="12" xfId="0" applyNumberFormat="1" applyFont="1" applyFill="1" applyBorder="1" applyAlignment="1">
      <alignment horizontal="center" vertical="center" wrapText="1"/>
    </xf>
    <xf numFmtId="0" fontId="93" fillId="33" borderId="13" xfId="0" applyFont="1" applyFill="1" applyBorder="1" applyAlignment="1">
      <alignment horizontal="center" vertical="center" wrapText="1"/>
    </xf>
    <xf numFmtId="0" fontId="93" fillId="33" borderId="22"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78" fillId="36" borderId="0" xfId="0" applyFont="1" applyFill="1" applyBorder="1" applyAlignment="1">
      <alignment horizontal="center" vertical="center" wrapText="1"/>
    </xf>
    <xf numFmtId="0" fontId="78" fillId="0" borderId="32" xfId="0"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2" fontId="79" fillId="33" borderId="12" xfId="0" applyNumberFormat="1" applyFont="1" applyFill="1" applyBorder="1" applyAlignment="1">
      <alignment horizontal="center" vertical="center" wrapText="1"/>
    </xf>
    <xf numFmtId="2" fontId="93" fillId="33" borderId="13" xfId="0" applyNumberFormat="1" applyFont="1" applyFill="1" applyBorder="1" applyAlignment="1">
      <alignment horizontal="center" vertical="center" wrapText="1"/>
    </xf>
    <xf numFmtId="2" fontId="97" fillId="33" borderId="13" xfId="0" applyNumberFormat="1" applyFont="1" applyFill="1" applyBorder="1" applyAlignment="1">
      <alignment horizontal="center" vertical="center" wrapText="1"/>
    </xf>
    <xf numFmtId="2" fontId="79" fillId="33" borderId="2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79" fillId="33" borderId="10" xfId="0" applyFont="1" applyFill="1" applyBorder="1" applyAlignment="1">
      <alignment vertical="center" wrapText="1"/>
    </xf>
    <xf numFmtId="0" fontId="79" fillId="33" borderId="12" xfId="0" applyFont="1" applyFill="1" applyBorder="1" applyAlignment="1">
      <alignment vertical="center" wrapText="1"/>
    </xf>
    <xf numFmtId="0" fontId="61" fillId="33" borderId="13" xfId="0" applyFont="1" applyFill="1" applyBorder="1" applyAlignment="1">
      <alignment vertical="center" wrapText="1"/>
    </xf>
    <xf numFmtId="0" fontId="61" fillId="33" borderId="22" xfId="0" applyFont="1" applyFill="1" applyBorder="1" applyAlignment="1">
      <alignment vertical="center" wrapText="1"/>
    </xf>
    <xf numFmtId="0" fontId="7" fillId="0" borderId="10" xfId="0" applyFont="1" applyBorder="1" applyAlignment="1">
      <alignment horizontal="center" wrapText="1"/>
    </xf>
    <xf numFmtId="2" fontId="2" fillId="0" borderId="52" xfId="0" applyNumberFormat="1" applyFont="1" applyFill="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33" xfId="0" applyNumberFormat="1" applyFont="1" applyBorder="1" applyAlignment="1">
      <alignment horizontal="center" vertical="center" wrapText="1"/>
    </xf>
    <xf numFmtId="2" fontId="17" fillId="0" borderId="52" xfId="0" applyNumberFormat="1" applyFont="1" applyFill="1" applyBorder="1" applyAlignment="1">
      <alignment horizontal="center" vertical="center" wrapText="1"/>
    </xf>
    <xf numFmtId="2" fontId="17" fillId="0" borderId="19" xfId="0" applyNumberFormat="1" applyFont="1" applyBorder="1" applyAlignment="1">
      <alignment horizontal="center" vertical="center" wrapText="1"/>
    </xf>
    <xf numFmtId="2" fontId="17" fillId="0" borderId="33" xfId="0" applyNumberFormat="1" applyFont="1" applyBorder="1" applyAlignment="1">
      <alignment horizontal="center" vertical="center" wrapText="1"/>
    </xf>
    <xf numFmtId="2" fontId="17" fillId="0" borderId="17" xfId="0" applyNumberFormat="1" applyFont="1" applyFill="1" applyBorder="1" applyAlignment="1">
      <alignment horizontal="center" vertical="center" wrapText="1"/>
    </xf>
    <xf numFmtId="2" fontId="17" fillId="0" borderId="19" xfId="0" applyNumberFormat="1" applyFont="1" applyFill="1" applyBorder="1" applyAlignment="1">
      <alignment horizontal="center" vertical="center" wrapText="1"/>
    </xf>
    <xf numFmtId="2" fontId="17" fillId="0" borderId="33" xfId="0" applyNumberFormat="1" applyFont="1" applyFill="1" applyBorder="1" applyAlignment="1">
      <alignment horizontal="center" vertical="center" wrapText="1"/>
    </xf>
    <xf numFmtId="2" fontId="17" fillId="0" borderId="10" xfId="49"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2" fontId="2" fillId="0" borderId="10" xfId="49" applyNumberFormat="1" applyFont="1" applyFill="1" applyBorder="1" applyAlignment="1">
      <alignment horizontal="center" vertical="center" wrapText="1"/>
    </xf>
    <xf numFmtId="2" fontId="17" fillId="36" borderId="10" xfId="0" applyNumberFormat="1" applyFont="1" applyFill="1" applyBorder="1" applyAlignment="1">
      <alignment horizontal="center" vertical="center" wrapText="1"/>
    </xf>
    <xf numFmtId="2" fontId="17" fillId="36" borderId="17" xfId="0" applyNumberFormat="1" applyFont="1" applyFill="1" applyBorder="1" applyAlignment="1">
      <alignment horizontal="center" vertical="center" wrapText="1"/>
    </xf>
    <xf numFmtId="2" fontId="17" fillId="36" borderId="19"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3" xfId="0" applyFont="1" applyBorder="1" applyAlignment="1">
      <alignment horizontal="center" vertical="center" wrapText="1"/>
    </xf>
    <xf numFmtId="0" fontId="86" fillId="33" borderId="12" xfId="59" applyFont="1" applyFill="1" applyBorder="1" applyAlignment="1">
      <alignment horizontal="center" vertical="center"/>
    </xf>
    <xf numFmtId="0" fontId="86" fillId="33" borderId="13" xfId="59" applyFont="1" applyFill="1" applyBorder="1" applyAlignment="1">
      <alignment horizontal="center" vertical="center"/>
    </xf>
    <xf numFmtId="2" fontId="2" fillId="34" borderId="10" xfId="0" applyNumberFormat="1" applyFont="1" applyFill="1" applyBorder="1" applyAlignment="1">
      <alignment horizontal="center" vertical="center" wrapText="1"/>
    </xf>
    <xf numFmtId="2" fontId="2" fillId="34" borderId="17"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2" fontId="2" fillId="34" borderId="33" xfId="0" applyNumberFormat="1" applyFont="1" applyFill="1" applyBorder="1" applyAlignment="1">
      <alignment horizontal="center" vertical="center" wrapText="1"/>
    </xf>
    <xf numFmtId="2" fontId="17" fillId="36" borderId="33"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49" fontId="2" fillId="34" borderId="10" xfId="0" applyNumberFormat="1" applyFont="1" applyFill="1" applyBorder="1" applyAlignment="1">
      <alignment horizontal="justify" vertical="center" wrapText="1"/>
    </xf>
    <xf numFmtId="0" fontId="2" fillId="34"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49" fontId="2" fillId="0" borderId="10" xfId="0" applyNumberFormat="1" applyFont="1" applyBorder="1" applyAlignment="1">
      <alignment horizontal="justify" vertical="center" wrapText="1"/>
    </xf>
    <xf numFmtId="0" fontId="9" fillId="0" borderId="12"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19" fillId="33" borderId="14"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32" xfId="0" applyFont="1" applyFill="1" applyBorder="1" applyAlignment="1">
      <alignment horizontal="center" vertical="center" wrapText="1"/>
    </xf>
    <xf numFmtId="0" fontId="19" fillId="33" borderId="23" xfId="0" applyFont="1" applyFill="1" applyBorder="1" applyAlignment="1">
      <alignment horizontal="center" vertical="center" wrapText="1"/>
    </xf>
    <xf numFmtId="165" fontId="19" fillId="35" borderId="17" xfId="49" applyNumberFormat="1" applyFont="1" applyFill="1" applyBorder="1" applyAlignment="1">
      <alignment horizontal="center" vertical="center" wrapText="1"/>
    </xf>
    <xf numFmtId="165" fontId="19" fillId="35" borderId="33" xfId="49" applyNumberFormat="1"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ANEXO 2 GRUPO 3" xfId="55"/>
    <cellStyle name="Normal_Condiciones Obligatorias TRDM" xfId="56"/>
    <cellStyle name="Normal_Matriz de Evaluación 2009" xfId="57"/>
    <cellStyle name="Normal_Slips Publicados" xfId="58"/>
    <cellStyle name="Normal_Slips Publicados_Condiciones Complementarias TRDM" xfId="59"/>
    <cellStyle name="Normal_Slips técnicos VDD - IND"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1628775</xdr:colOff>
      <xdr:row>3</xdr:row>
      <xdr:rowOff>66675</xdr:rowOff>
    </xdr:to>
    <xdr:pic>
      <xdr:nvPicPr>
        <xdr:cNvPr id="1" name="Imagen 2"/>
        <xdr:cNvPicPr preferRelativeResize="1">
          <a:picLocks noChangeAspect="1"/>
        </xdr:cNvPicPr>
      </xdr:nvPicPr>
      <xdr:blipFill>
        <a:blip r:embed="rId1"/>
        <a:stretch>
          <a:fillRect/>
        </a:stretch>
      </xdr:blipFill>
      <xdr:spPr>
        <a:xfrm>
          <a:off x="581025" y="0"/>
          <a:ext cx="1047750" cy="1495425"/>
        </a:xfrm>
        <a:prstGeom prst="rect">
          <a:avLst/>
        </a:prstGeom>
        <a:noFill/>
        <a:ln w="9525" cmpd="sng">
          <a:noFill/>
        </a:ln>
      </xdr:spPr>
    </xdr:pic>
    <xdr:clientData/>
  </xdr:twoCellAnchor>
  <xdr:twoCellAnchor>
    <xdr:from>
      <xdr:col>9</xdr:col>
      <xdr:colOff>561975</xdr:colOff>
      <xdr:row>1</xdr:row>
      <xdr:rowOff>295275</xdr:rowOff>
    </xdr:from>
    <xdr:to>
      <xdr:col>9</xdr:col>
      <xdr:colOff>1476375</xdr:colOff>
      <xdr:row>1</xdr:row>
      <xdr:rowOff>666750</xdr:rowOff>
    </xdr:to>
    <xdr:pic>
      <xdr:nvPicPr>
        <xdr:cNvPr id="2" name="2 Imagen" descr="aon_logo_no_clear_space_red_CMYK"/>
        <xdr:cNvPicPr preferRelativeResize="1">
          <a:picLocks noChangeAspect="1"/>
        </xdr:cNvPicPr>
      </xdr:nvPicPr>
      <xdr:blipFill>
        <a:blip r:embed="rId2"/>
        <a:stretch>
          <a:fillRect/>
        </a:stretch>
      </xdr:blipFill>
      <xdr:spPr>
        <a:xfrm>
          <a:off x="21783675" y="485775"/>
          <a:ext cx="9144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9"/>
  <sheetViews>
    <sheetView zoomScale="60" zoomScaleNormal="60" zoomScalePageLayoutView="0" workbookViewId="0" topLeftCell="A1">
      <selection activeCell="G22" sqref="G22"/>
    </sheetView>
  </sheetViews>
  <sheetFormatPr defaultColWidth="11.421875" defaultRowHeight="15"/>
  <cols>
    <col min="1" max="1" width="51.57421875" style="0" customWidth="1"/>
    <col min="2" max="2" width="32.57421875" style="0" customWidth="1"/>
    <col min="3" max="3" width="33.57421875" style="0" customWidth="1"/>
    <col min="4" max="4" width="34.140625" style="0" customWidth="1"/>
    <col min="5" max="5" width="33.8515625" style="0" customWidth="1"/>
    <col min="6" max="6" width="34.421875" style="0" customWidth="1"/>
    <col min="7" max="10" width="32.7109375" style="0" customWidth="1"/>
  </cols>
  <sheetData>
    <row r="1" spans="1:10" ht="15">
      <c r="A1" s="117"/>
      <c r="B1" s="117"/>
      <c r="C1" s="117"/>
      <c r="D1" s="117"/>
      <c r="E1" s="117"/>
      <c r="F1" s="117"/>
      <c r="G1" s="117"/>
      <c r="H1" s="117"/>
      <c r="I1" s="117"/>
      <c r="J1" s="117"/>
    </row>
    <row r="2" spans="1:13" s="86" customFormat="1" ht="78" customHeight="1">
      <c r="A2" s="332" t="s">
        <v>464</v>
      </c>
      <c r="B2" s="332"/>
      <c r="C2" s="332"/>
      <c r="D2" s="332"/>
      <c r="E2" s="332"/>
      <c r="F2" s="332"/>
      <c r="G2" s="332"/>
      <c r="H2" s="332"/>
      <c r="I2" s="332"/>
      <c r="J2" s="332"/>
      <c r="K2" s="119"/>
      <c r="L2" s="119"/>
      <c r="M2" s="119"/>
    </row>
    <row r="3" spans="1:10" s="86" customFormat="1" ht="19.5" customHeight="1">
      <c r="A3" s="333" t="s">
        <v>196</v>
      </c>
      <c r="B3" s="333"/>
      <c r="C3" s="333"/>
      <c r="D3" s="333"/>
      <c r="E3" s="333"/>
      <c r="F3" s="333"/>
      <c r="G3" s="333"/>
      <c r="H3" s="333"/>
      <c r="I3" s="333"/>
      <c r="J3" s="333"/>
    </row>
    <row r="4" spans="1:10" s="86" customFormat="1" ht="19.5" customHeight="1">
      <c r="A4" s="120"/>
      <c r="B4" s="120"/>
      <c r="C4" s="120"/>
      <c r="D4" s="120"/>
      <c r="E4" s="120"/>
      <c r="F4" s="120"/>
      <c r="G4" s="120"/>
      <c r="H4" s="120"/>
      <c r="I4" s="120"/>
      <c r="J4" s="120"/>
    </row>
    <row r="5" spans="1:10" s="101" customFormat="1" ht="126.75" customHeight="1">
      <c r="A5" s="121" t="s">
        <v>167</v>
      </c>
      <c r="B5" s="130" t="s">
        <v>330</v>
      </c>
      <c r="C5" s="130" t="s">
        <v>462</v>
      </c>
      <c r="D5" s="130" t="s">
        <v>451</v>
      </c>
      <c r="E5" s="320" t="s">
        <v>444</v>
      </c>
      <c r="F5" s="320" t="s">
        <v>445</v>
      </c>
      <c r="G5" s="320" t="s">
        <v>446</v>
      </c>
      <c r="H5" s="320" t="s">
        <v>447</v>
      </c>
      <c r="I5" s="320" t="s">
        <v>448</v>
      </c>
      <c r="J5" s="320" t="s">
        <v>449</v>
      </c>
    </row>
    <row r="6" spans="1:10" s="86" customFormat="1" ht="12.75">
      <c r="A6" s="122" t="s">
        <v>168</v>
      </c>
      <c r="B6" s="123" t="s">
        <v>170</v>
      </c>
      <c r="C6" s="123" t="s">
        <v>170</v>
      </c>
      <c r="D6" s="123" t="s">
        <v>170</v>
      </c>
      <c r="E6" s="123" t="s">
        <v>170</v>
      </c>
      <c r="F6" s="123" t="s">
        <v>170</v>
      </c>
      <c r="G6" s="123" t="s">
        <v>170</v>
      </c>
      <c r="H6" s="123"/>
      <c r="I6" s="123"/>
      <c r="J6" s="123" t="s">
        <v>170</v>
      </c>
    </row>
    <row r="7" spans="1:11" s="86" customFormat="1" ht="90" customHeight="1">
      <c r="A7" s="124" t="s">
        <v>310</v>
      </c>
      <c r="B7" s="125">
        <f>Ponderación!C13</f>
        <v>864.6695006726558</v>
      </c>
      <c r="C7" s="125">
        <f>Ponderación!C22</f>
        <v>777.5841941640426</v>
      </c>
      <c r="D7" s="125">
        <f>Ponderación!C31</f>
        <v>858.3573892814654</v>
      </c>
      <c r="E7" s="125" t="s">
        <v>465</v>
      </c>
      <c r="F7" s="125" t="s">
        <v>465</v>
      </c>
      <c r="G7" s="125" t="s">
        <v>465</v>
      </c>
      <c r="H7" s="125" t="s">
        <v>465</v>
      </c>
      <c r="I7" s="125" t="s">
        <v>465</v>
      </c>
      <c r="J7" s="125" t="s">
        <v>465</v>
      </c>
      <c r="K7" s="211"/>
    </row>
    <row r="8" spans="1:10" s="86" customFormat="1" ht="63.75" customHeight="1">
      <c r="A8" s="124" t="s">
        <v>200</v>
      </c>
      <c r="B8" s="125" t="s">
        <v>465</v>
      </c>
      <c r="C8" s="125" t="s">
        <v>465</v>
      </c>
      <c r="D8" s="125">
        <f>Ponderación!C39</f>
        <v>767.0097786927432</v>
      </c>
      <c r="E8" s="331">
        <f>Ponderación!C45</f>
        <v>1000</v>
      </c>
      <c r="F8" s="125">
        <f>Ponderación!C51</f>
        <v>882.8450619148293</v>
      </c>
      <c r="G8" s="125">
        <f>Ponderación!C57</f>
        <v>748</v>
      </c>
      <c r="H8" s="125">
        <f>Ponderación!C63</f>
        <v>840.5714285714286</v>
      </c>
      <c r="I8" s="125">
        <f>Ponderación!C69</f>
        <v>843.5456110154905</v>
      </c>
      <c r="J8" s="125">
        <f>Ponderación!C75</f>
        <v>964</v>
      </c>
    </row>
    <row r="9" spans="1:10" s="101" customFormat="1" ht="12.75">
      <c r="A9" s="126"/>
      <c r="B9" s="127"/>
      <c r="C9" s="127"/>
      <c r="D9" s="127"/>
      <c r="E9" s="127"/>
      <c r="F9" s="127"/>
      <c r="G9" s="127"/>
      <c r="H9" s="127"/>
      <c r="I9" s="127"/>
      <c r="J9" s="127"/>
    </row>
    <row r="12" ht="15">
      <c r="A12" t="s">
        <v>197</v>
      </c>
    </row>
    <row r="14" spans="3:9" ht="15">
      <c r="C14" s="128"/>
      <c r="D14" s="128"/>
      <c r="E14" s="128"/>
      <c r="G14" s="128"/>
      <c r="H14" s="128"/>
      <c r="I14" s="128"/>
    </row>
    <row r="15" spans="1:9" ht="15">
      <c r="A15" s="77" t="s">
        <v>198</v>
      </c>
      <c r="B15" s="128"/>
      <c r="C15" s="128"/>
      <c r="D15" s="128"/>
      <c r="E15" s="128"/>
      <c r="G15" s="128"/>
      <c r="H15" s="128"/>
      <c r="I15" s="128"/>
    </row>
    <row r="16" spans="1:9" ht="15">
      <c r="A16" s="77" t="s">
        <v>199</v>
      </c>
      <c r="B16" s="128"/>
      <c r="C16" s="128"/>
      <c r="D16" s="128"/>
      <c r="E16" s="128"/>
      <c r="G16" s="128"/>
      <c r="H16" s="128"/>
      <c r="I16" s="128"/>
    </row>
    <row r="17" spans="2:9" ht="15">
      <c r="B17" s="128"/>
      <c r="C17" s="128"/>
      <c r="D17" s="128"/>
      <c r="E17" s="128"/>
      <c r="G17" s="128"/>
      <c r="H17" s="128"/>
      <c r="I17" s="128"/>
    </row>
    <row r="18" spans="2:10" ht="15">
      <c r="B18" s="128"/>
      <c r="C18" s="128"/>
      <c r="D18" s="128"/>
      <c r="E18" s="128"/>
      <c r="F18" s="128"/>
      <c r="G18" s="128"/>
      <c r="H18" s="128"/>
      <c r="I18" s="128"/>
      <c r="J18" s="128"/>
    </row>
    <row r="19" spans="6:10" ht="15">
      <c r="F19" s="128"/>
      <c r="J19" s="128"/>
    </row>
  </sheetData>
  <sheetProtection/>
  <mergeCells count="2">
    <mergeCell ref="A2:J2"/>
    <mergeCell ref="A3:J3"/>
  </mergeCells>
  <printOptions horizontalCentered="1" verticalCentered="1"/>
  <pageMargins left="0.7086614173228347" right="0.7086614173228347" top="0.7480314960629921" bottom="0.7480314960629921" header="0.31496062992125984" footer="0.31496062992125984"/>
  <pageSetup orientation="landscape" scale="65" r:id="rId2"/>
  <drawing r:id="rId1"/>
</worksheet>
</file>

<file path=xl/worksheets/sheet10.xml><?xml version="1.0" encoding="utf-8"?>
<worksheet xmlns="http://schemas.openxmlformats.org/spreadsheetml/2006/main" xmlns:r="http://schemas.openxmlformats.org/officeDocument/2006/relationships">
  <dimension ref="A1:H140"/>
  <sheetViews>
    <sheetView zoomScale="64" zoomScaleNormal="64" zoomScalePageLayoutView="0" workbookViewId="0" topLeftCell="A2">
      <selection activeCell="A2" sqref="A2:H2"/>
    </sheetView>
  </sheetViews>
  <sheetFormatPr defaultColWidth="11.421875" defaultRowHeight="15"/>
  <cols>
    <col min="1" max="1" width="102.140625" style="6" customWidth="1"/>
    <col min="2" max="2" width="27.8515625" style="6" customWidth="1"/>
    <col min="3" max="3" width="44.8515625" style="7" customWidth="1"/>
    <col min="4" max="4" width="15.57421875" style="7" customWidth="1"/>
    <col min="5" max="5" width="44.8515625" style="7" customWidth="1"/>
    <col min="6" max="6" width="15.57421875" style="7" customWidth="1"/>
    <col min="7" max="7" width="44.8515625" style="7" customWidth="1"/>
    <col min="8" max="8" width="15.57421875" style="7" customWidth="1"/>
    <col min="9" max="16384" width="11.421875" style="6" customWidth="1"/>
  </cols>
  <sheetData>
    <row r="1" spans="1:8" ht="56.25" customHeight="1" hidden="1">
      <c r="A1" s="5" t="s">
        <v>4</v>
      </c>
      <c r="C1" s="6"/>
      <c r="D1" s="6"/>
      <c r="E1" s="6"/>
      <c r="F1" s="6"/>
      <c r="G1" s="6"/>
      <c r="H1" s="6"/>
    </row>
    <row r="2" spans="1:8" s="7" customFormat="1" ht="46.5" customHeight="1">
      <c r="A2" s="388" t="s">
        <v>156</v>
      </c>
      <c r="B2" s="388"/>
      <c r="C2" s="388"/>
      <c r="D2" s="388"/>
      <c r="E2" s="388"/>
      <c r="F2" s="388"/>
      <c r="G2" s="388"/>
      <c r="H2" s="388"/>
    </row>
    <row r="3" spans="1:8" s="7" customFormat="1" ht="19.5" customHeight="1">
      <c r="A3" s="388" t="s">
        <v>5</v>
      </c>
      <c r="B3" s="388"/>
      <c r="C3" s="388"/>
      <c r="D3" s="388"/>
      <c r="E3" s="388"/>
      <c r="F3" s="388"/>
      <c r="G3" s="388"/>
      <c r="H3" s="388"/>
    </row>
    <row r="4" spans="1:8" ht="21.75" customHeight="1">
      <c r="A4" s="56" t="s">
        <v>0</v>
      </c>
      <c r="B4" s="57"/>
      <c r="C4" s="373" t="s">
        <v>162</v>
      </c>
      <c r="D4" s="374"/>
      <c r="E4" s="374"/>
      <c r="F4" s="374"/>
      <c r="G4" s="374"/>
      <c r="H4" s="374"/>
    </row>
    <row r="5" spans="1:8" s="44" customFormat="1" ht="97.5" customHeight="1" thickBot="1">
      <c r="A5" s="58" t="s">
        <v>6</v>
      </c>
      <c r="B5" s="59" t="s">
        <v>85</v>
      </c>
      <c r="C5" s="130" t="s">
        <v>330</v>
      </c>
      <c r="D5" s="130" t="s">
        <v>2</v>
      </c>
      <c r="E5" s="130" t="s">
        <v>331</v>
      </c>
      <c r="F5" s="130" t="s">
        <v>2</v>
      </c>
      <c r="G5" s="130" t="s">
        <v>332</v>
      </c>
      <c r="H5" s="130" t="s">
        <v>2</v>
      </c>
    </row>
    <row r="6" spans="1:8" s="44" customFormat="1" ht="81" customHeight="1">
      <c r="A6" s="60" t="s">
        <v>326</v>
      </c>
      <c r="B6" s="419">
        <v>50</v>
      </c>
      <c r="C6" s="422" t="s">
        <v>361</v>
      </c>
      <c r="D6" s="422">
        <v>50</v>
      </c>
      <c r="E6" s="422" t="s">
        <v>411</v>
      </c>
      <c r="F6" s="422">
        <v>50</v>
      </c>
      <c r="G6" s="422" t="s">
        <v>411</v>
      </c>
      <c r="H6" s="422">
        <v>50</v>
      </c>
    </row>
    <row r="7" spans="1:8" s="44" customFormat="1" ht="42" customHeight="1">
      <c r="A7" s="55" t="s">
        <v>241</v>
      </c>
      <c r="B7" s="420"/>
      <c r="C7" s="423"/>
      <c r="D7" s="423"/>
      <c r="E7" s="426"/>
      <c r="F7" s="426"/>
      <c r="G7" s="426"/>
      <c r="H7" s="423"/>
    </row>
    <row r="8" spans="1:8" s="44" customFormat="1" ht="46.5" customHeight="1">
      <c r="A8" s="55" t="s">
        <v>327</v>
      </c>
      <c r="B8" s="421"/>
      <c r="C8" s="424"/>
      <c r="D8" s="424"/>
      <c r="E8" s="427"/>
      <c r="F8" s="427"/>
      <c r="G8" s="427"/>
      <c r="H8" s="424"/>
    </row>
    <row r="9" spans="1:8" s="44" customFormat="1" ht="75" customHeight="1">
      <c r="A9" s="61" t="s">
        <v>136</v>
      </c>
      <c r="B9" s="62">
        <v>15</v>
      </c>
      <c r="C9" s="189" t="s">
        <v>362</v>
      </c>
      <c r="D9" s="188">
        <v>15</v>
      </c>
      <c r="E9" s="189" t="s">
        <v>412</v>
      </c>
      <c r="F9" s="188">
        <f>15*1/3</f>
        <v>5</v>
      </c>
      <c r="G9" s="189" t="s">
        <v>362</v>
      </c>
      <c r="H9" s="188">
        <v>15</v>
      </c>
    </row>
    <row r="10" spans="1:8" s="44" customFormat="1" ht="45.75" customHeight="1">
      <c r="A10" s="52" t="s">
        <v>129</v>
      </c>
      <c r="B10" s="63">
        <v>10</v>
      </c>
      <c r="C10" s="189" t="s">
        <v>363</v>
      </c>
      <c r="D10" s="188">
        <v>10</v>
      </c>
      <c r="E10" s="189" t="s">
        <v>413</v>
      </c>
      <c r="F10" s="188">
        <f>10*35/61</f>
        <v>5.737704918032787</v>
      </c>
      <c r="G10" s="189" t="s">
        <v>438</v>
      </c>
      <c r="H10" s="188">
        <f>10*60/61</f>
        <v>9.836065573770492</v>
      </c>
    </row>
    <row r="11" spans="1:8" s="44" customFormat="1" ht="45.75" customHeight="1">
      <c r="A11" s="52" t="s">
        <v>132</v>
      </c>
      <c r="B11" s="63">
        <v>10</v>
      </c>
      <c r="C11" s="189" t="s">
        <v>364</v>
      </c>
      <c r="D11" s="188">
        <f>10*30/60</f>
        <v>5</v>
      </c>
      <c r="E11" s="189" t="s">
        <v>414</v>
      </c>
      <c r="F11" s="188">
        <f>10*35/60</f>
        <v>5.833333333333333</v>
      </c>
      <c r="G11" s="189" t="s">
        <v>439</v>
      </c>
      <c r="H11" s="188">
        <v>10</v>
      </c>
    </row>
    <row r="12" spans="1:8" s="44" customFormat="1" ht="55.5" customHeight="1">
      <c r="A12" s="61" t="s">
        <v>135</v>
      </c>
      <c r="B12" s="63">
        <v>15</v>
      </c>
      <c r="C12" s="189" t="s">
        <v>365</v>
      </c>
      <c r="D12" s="188">
        <f>15/5*3</f>
        <v>9</v>
      </c>
      <c r="E12" s="189" t="s">
        <v>415</v>
      </c>
      <c r="F12" s="188">
        <v>0</v>
      </c>
      <c r="G12" s="189" t="s">
        <v>440</v>
      </c>
      <c r="H12" s="188">
        <v>15</v>
      </c>
    </row>
    <row r="13" spans="1:8" s="44" customFormat="1" ht="29.25" customHeight="1">
      <c r="A13" s="52" t="s">
        <v>80</v>
      </c>
      <c r="B13" s="432">
        <v>20</v>
      </c>
      <c r="C13" s="428" t="s">
        <v>336</v>
      </c>
      <c r="D13" s="428">
        <v>20</v>
      </c>
      <c r="E13" s="428" t="s">
        <v>336</v>
      </c>
      <c r="F13" s="428">
        <v>20</v>
      </c>
      <c r="G13" s="428" t="s">
        <v>336</v>
      </c>
      <c r="H13" s="428">
        <v>20</v>
      </c>
    </row>
    <row r="14" spans="1:8" s="44" customFormat="1" ht="54" customHeight="1">
      <c r="A14" s="55" t="s">
        <v>81</v>
      </c>
      <c r="B14" s="432"/>
      <c r="C14" s="428"/>
      <c r="D14" s="428"/>
      <c r="E14" s="428"/>
      <c r="F14" s="428"/>
      <c r="G14" s="428"/>
      <c r="H14" s="428"/>
    </row>
    <row r="15" spans="1:8" s="44" customFormat="1" ht="72" customHeight="1">
      <c r="A15" s="55" t="s">
        <v>242</v>
      </c>
      <c r="B15" s="432"/>
      <c r="C15" s="428"/>
      <c r="D15" s="428"/>
      <c r="E15" s="428"/>
      <c r="F15" s="428"/>
      <c r="G15" s="428"/>
      <c r="H15" s="428"/>
    </row>
    <row r="16" spans="1:8" s="44" customFormat="1" ht="84" customHeight="1">
      <c r="A16" s="55" t="s">
        <v>82</v>
      </c>
      <c r="B16" s="432"/>
      <c r="C16" s="428"/>
      <c r="D16" s="428"/>
      <c r="E16" s="428"/>
      <c r="F16" s="428"/>
      <c r="G16" s="428"/>
      <c r="H16" s="428"/>
    </row>
    <row r="17" spans="1:8" s="44" customFormat="1" ht="71.25">
      <c r="A17" s="55" t="s">
        <v>83</v>
      </c>
      <c r="B17" s="432"/>
      <c r="C17" s="428"/>
      <c r="D17" s="428"/>
      <c r="E17" s="428"/>
      <c r="F17" s="428"/>
      <c r="G17" s="428"/>
      <c r="H17" s="428"/>
    </row>
    <row r="18" spans="1:8" s="44" customFormat="1" ht="90.75" customHeight="1">
      <c r="A18" s="55" t="s">
        <v>84</v>
      </c>
      <c r="B18" s="432"/>
      <c r="C18" s="428"/>
      <c r="D18" s="428"/>
      <c r="E18" s="428"/>
      <c r="F18" s="428"/>
      <c r="G18" s="428"/>
      <c r="H18" s="428"/>
    </row>
    <row r="19" spans="1:8" s="44" customFormat="1" ht="15">
      <c r="A19" s="64" t="s">
        <v>133</v>
      </c>
      <c r="B19" s="430">
        <v>10</v>
      </c>
      <c r="C19" s="426" t="s">
        <v>366</v>
      </c>
      <c r="D19" s="426">
        <f>10*100/200</f>
        <v>5</v>
      </c>
      <c r="E19" s="426" t="s">
        <v>416</v>
      </c>
      <c r="F19" s="426">
        <v>10</v>
      </c>
      <c r="G19" s="426" t="s">
        <v>441</v>
      </c>
      <c r="H19" s="426">
        <f>10*50/200</f>
        <v>2.5</v>
      </c>
    </row>
    <row r="20" spans="1:8" s="44" customFormat="1" ht="49.5" customHeight="1">
      <c r="A20" s="65" t="s">
        <v>134</v>
      </c>
      <c r="B20" s="430"/>
      <c r="C20" s="426"/>
      <c r="D20" s="426"/>
      <c r="E20" s="426"/>
      <c r="F20" s="426"/>
      <c r="G20" s="426"/>
      <c r="H20" s="426"/>
    </row>
    <row r="21" spans="1:8" s="44" customFormat="1" ht="60" customHeight="1">
      <c r="A21" s="55" t="s">
        <v>140</v>
      </c>
      <c r="B21" s="429">
        <v>20</v>
      </c>
      <c r="C21" s="425" t="s">
        <v>336</v>
      </c>
      <c r="D21" s="425">
        <v>20</v>
      </c>
      <c r="E21" s="425" t="s">
        <v>336</v>
      </c>
      <c r="F21" s="425">
        <v>20</v>
      </c>
      <c r="G21" s="425" t="s">
        <v>336</v>
      </c>
      <c r="H21" s="425">
        <v>20</v>
      </c>
    </row>
    <row r="22" spans="1:8" s="44" customFormat="1" ht="122.25" customHeight="1">
      <c r="A22" s="67" t="s">
        <v>78</v>
      </c>
      <c r="B22" s="430"/>
      <c r="C22" s="426"/>
      <c r="D22" s="426"/>
      <c r="E22" s="426"/>
      <c r="F22" s="426"/>
      <c r="G22" s="426"/>
      <c r="H22" s="426"/>
    </row>
    <row r="23" spans="1:8" s="44" customFormat="1" ht="75" customHeight="1">
      <c r="A23" s="55" t="s">
        <v>124</v>
      </c>
      <c r="B23" s="430"/>
      <c r="C23" s="426"/>
      <c r="D23" s="426"/>
      <c r="E23" s="426"/>
      <c r="F23" s="426"/>
      <c r="G23" s="426"/>
      <c r="H23" s="426"/>
    </row>
    <row r="24" spans="1:8" s="44" customFormat="1" ht="99" customHeight="1">
      <c r="A24" s="67" t="s">
        <v>79</v>
      </c>
      <c r="B24" s="431"/>
      <c r="C24" s="427"/>
      <c r="D24" s="427"/>
      <c r="E24" s="427"/>
      <c r="F24" s="427"/>
      <c r="G24" s="427"/>
      <c r="H24" s="427"/>
    </row>
    <row r="25" spans="1:8" s="44" customFormat="1" ht="86.25">
      <c r="A25" s="41" t="s">
        <v>161</v>
      </c>
      <c r="B25" s="9">
        <v>15</v>
      </c>
      <c r="C25" s="189" t="s">
        <v>367</v>
      </c>
      <c r="D25" s="188">
        <f>15*5/50</f>
        <v>1.5</v>
      </c>
      <c r="E25" s="189" t="s">
        <v>417</v>
      </c>
      <c r="F25" s="188">
        <v>15</v>
      </c>
      <c r="G25" s="308" t="s">
        <v>355</v>
      </c>
      <c r="H25" s="329">
        <v>0</v>
      </c>
    </row>
    <row r="26" spans="1:8" s="53" customFormat="1" ht="71.25" customHeight="1">
      <c r="A26" s="66" t="s">
        <v>142</v>
      </c>
      <c r="B26" s="9">
        <v>15</v>
      </c>
      <c r="C26" s="189" t="s">
        <v>368</v>
      </c>
      <c r="D26" s="188">
        <v>15</v>
      </c>
      <c r="E26" s="308" t="s">
        <v>336</v>
      </c>
      <c r="F26" s="188">
        <v>15</v>
      </c>
      <c r="G26" s="308" t="s">
        <v>336</v>
      </c>
      <c r="H26" s="188">
        <v>15</v>
      </c>
    </row>
    <row r="27" spans="1:8" s="53" customFormat="1" ht="54" customHeight="1">
      <c r="A27" s="41" t="s">
        <v>145</v>
      </c>
      <c r="B27" s="9">
        <v>20</v>
      </c>
      <c r="C27" s="189" t="s">
        <v>369</v>
      </c>
      <c r="D27" s="188">
        <v>20</v>
      </c>
      <c r="E27" s="308" t="s">
        <v>336</v>
      </c>
      <c r="F27" s="188">
        <v>20</v>
      </c>
      <c r="G27" s="308" t="s">
        <v>355</v>
      </c>
      <c r="H27" s="329">
        <v>0</v>
      </c>
    </row>
    <row r="28" spans="1:8" s="53" customFormat="1" ht="57" customHeight="1">
      <c r="A28" s="229" t="s">
        <v>243</v>
      </c>
      <c r="B28" s="9">
        <v>10</v>
      </c>
      <c r="C28" s="187" t="s">
        <v>336</v>
      </c>
      <c r="D28" s="188">
        <v>10</v>
      </c>
      <c r="E28" s="308" t="s">
        <v>336</v>
      </c>
      <c r="F28" s="188">
        <v>10</v>
      </c>
      <c r="G28" s="308" t="s">
        <v>355</v>
      </c>
      <c r="H28" s="329">
        <v>0</v>
      </c>
    </row>
    <row r="29" spans="1:8" s="146" customFormat="1" ht="114.75">
      <c r="A29" s="229" t="s">
        <v>244</v>
      </c>
      <c r="B29" s="9">
        <v>10</v>
      </c>
      <c r="C29" s="187" t="s">
        <v>336</v>
      </c>
      <c r="D29" s="213">
        <v>10</v>
      </c>
      <c r="E29" s="308" t="s">
        <v>336</v>
      </c>
      <c r="F29" s="213">
        <v>10</v>
      </c>
      <c r="G29" s="308" t="s">
        <v>336</v>
      </c>
      <c r="H29" s="213">
        <v>10</v>
      </c>
    </row>
    <row r="30" spans="1:8" ht="74.25" customHeight="1">
      <c r="A30" s="230" t="s">
        <v>245</v>
      </c>
      <c r="B30" s="9">
        <v>20</v>
      </c>
      <c r="C30" s="187" t="s">
        <v>336</v>
      </c>
      <c r="D30" s="213">
        <v>20</v>
      </c>
      <c r="E30" s="308" t="s">
        <v>336</v>
      </c>
      <c r="F30" s="213">
        <v>20</v>
      </c>
      <c r="G30" s="308" t="s">
        <v>336</v>
      </c>
      <c r="H30" s="213">
        <v>20</v>
      </c>
    </row>
    <row r="31" spans="1:8" ht="217.5" customHeight="1">
      <c r="A31" s="322" t="s">
        <v>328</v>
      </c>
      <c r="B31" s="9">
        <v>20</v>
      </c>
      <c r="C31" s="187" t="s">
        <v>336</v>
      </c>
      <c r="D31" s="213">
        <v>20</v>
      </c>
      <c r="E31" s="308" t="s">
        <v>336</v>
      </c>
      <c r="F31" s="213">
        <v>20</v>
      </c>
      <c r="G31" s="308" t="s">
        <v>336</v>
      </c>
      <c r="H31" s="213">
        <v>20</v>
      </c>
    </row>
    <row r="32" spans="1:8" ht="143.25">
      <c r="A32" s="41" t="s">
        <v>229</v>
      </c>
      <c r="B32" s="171">
        <v>10</v>
      </c>
      <c r="C32" s="187" t="s">
        <v>336</v>
      </c>
      <c r="D32" s="213">
        <v>10</v>
      </c>
      <c r="E32" s="308" t="s">
        <v>336</v>
      </c>
      <c r="F32" s="213">
        <v>10</v>
      </c>
      <c r="G32" s="308" t="s">
        <v>336</v>
      </c>
      <c r="H32" s="213">
        <v>10</v>
      </c>
    </row>
    <row r="33" spans="1:8" ht="44.25">
      <c r="A33" s="229" t="s">
        <v>246</v>
      </c>
      <c r="B33" s="171">
        <v>10</v>
      </c>
      <c r="C33" s="189" t="s">
        <v>370</v>
      </c>
      <c r="D33" s="213">
        <v>5</v>
      </c>
      <c r="E33" s="308" t="s">
        <v>336</v>
      </c>
      <c r="F33" s="213">
        <v>10</v>
      </c>
      <c r="G33" s="308" t="s">
        <v>336</v>
      </c>
      <c r="H33" s="213">
        <v>10</v>
      </c>
    </row>
    <row r="34" spans="1:8" ht="51.75" customHeight="1">
      <c r="A34" s="323" t="s">
        <v>329</v>
      </c>
      <c r="B34" s="324">
        <v>20</v>
      </c>
      <c r="C34" s="189" t="s">
        <v>371</v>
      </c>
      <c r="D34" s="213">
        <v>20</v>
      </c>
      <c r="E34" s="248" t="s">
        <v>355</v>
      </c>
      <c r="F34" s="213">
        <v>0</v>
      </c>
      <c r="G34" s="248" t="s">
        <v>355</v>
      </c>
      <c r="H34" s="213">
        <v>0</v>
      </c>
    </row>
    <row r="35" spans="1:8" ht="14.25" customHeight="1">
      <c r="A35" s="231" t="s">
        <v>247</v>
      </c>
      <c r="B35" s="139">
        <f>SUM(B6:B34)</f>
        <v>300</v>
      </c>
      <c r="C35" s="138"/>
      <c r="D35" s="139">
        <f>SUM(D6:D34)</f>
        <v>265.5</v>
      </c>
      <c r="E35" s="138"/>
      <c r="F35" s="139">
        <f>SUM(F6:F34)</f>
        <v>246.57103825136613</v>
      </c>
      <c r="G35" s="138"/>
      <c r="H35" s="139">
        <f>SUM(H6:H34)</f>
        <v>227.3360655737705</v>
      </c>
    </row>
    <row r="36" ht="14.25" customHeight="1"/>
    <row r="37" ht="14.25" customHeight="1"/>
    <row r="38" ht="14.25" customHeight="1"/>
    <row r="39" ht="14.25" customHeight="1"/>
    <row r="40" ht="14.25" customHeight="1"/>
    <row r="140" spans="3:8" ht="14.25">
      <c r="C140" s="24"/>
      <c r="D140" s="24"/>
      <c r="E140" s="24"/>
      <c r="F140" s="24"/>
      <c r="G140" s="24"/>
      <c r="H140" s="24"/>
    </row>
  </sheetData>
  <sheetProtection/>
  <mergeCells count="31">
    <mergeCell ref="D19:D20"/>
    <mergeCell ref="C4:H4"/>
    <mergeCell ref="E6:E8"/>
    <mergeCell ref="F6:F8"/>
    <mergeCell ref="E21:E24"/>
    <mergeCell ref="F21:F24"/>
    <mergeCell ref="G21:G24"/>
    <mergeCell ref="H13:H18"/>
    <mergeCell ref="E19:E20"/>
    <mergeCell ref="F19:F20"/>
    <mergeCell ref="G19:G20"/>
    <mergeCell ref="A2:H2"/>
    <mergeCell ref="A3:H3"/>
    <mergeCell ref="G6:G8"/>
    <mergeCell ref="H6:H8"/>
    <mergeCell ref="C6:C8"/>
    <mergeCell ref="D21:D24"/>
    <mergeCell ref="B21:B24"/>
    <mergeCell ref="C13:C18"/>
    <mergeCell ref="D13:D18"/>
    <mergeCell ref="C21:C24"/>
    <mergeCell ref="B6:B8"/>
    <mergeCell ref="D6:D8"/>
    <mergeCell ref="H21:H24"/>
    <mergeCell ref="E13:E18"/>
    <mergeCell ref="F13:F18"/>
    <mergeCell ref="G13:G18"/>
    <mergeCell ref="H19:H20"/>
    <mergeCell ref="B13:B18"/>
    <mergeCell ref="B19:B20"/>
    <mergeCell ref="C19:C20"/>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11.xml><?xml version="1.0" encoding="utf-8"?>
<worksheet xmlns="http://schemas.openxmlformats.org/spreadsheetml/2006/main" xmlns:r="http://schemas.openxmlformats.org/officeDocument/2006/relationships">
  <dimension ref="A1:M53"/>
  <sheetViews>
    <sheetView tabSelected="1" zoomScale="66" zoomScaleNormal="66" zoomScalePageLayoutView="0" workbookViewId="0" topLeftCell="A1">
      <selection activeCell="A1" sqref="A1:J1"/>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5" width="49.28125" style="6" customWidth="1"/>
    <col min="6" max="6" width="18.00390625" style="6" customWidth="1"/>
    <col min="7" max="7" width="49.28125" style="6" customWidth="1"/>
    <col min="8" max="8" width="18.00390625" style="6" customWidth="1"/>
    <col min="9" max="9" width="49.28125" style="6" customWidth="1"/>
    <col min="10" max="10" width="18.00390625" style="6" customWidth="1"/>
    <col min="11" max="12" width="11.421875" style="6" customWidth="1"/>
    <col min="13" max="13" width="41.00390625" style="6" customWidth="1"/>
    <col min="14" max="16384" width="11.421875" style="6" customWidth="1"/>
  </cols>
  <sheetData>
    <row r="1" spans="1:10" s="7" customFormat="1" ht="46.5" customHeight="1">
      <c r="A1" s="388" t="s">
        <v>157</v>
      </c>
      <c r="B1" s="388"/>
      <c r="C1" s="388"/>
      <c r="D1" s="388"/>
      <c r="E1" s="388"/>
      <c r="F1" s="388"/>
      <c r="G1" s="388"/>
      <c r="H1" s="388"/>
      <c r="I1" s="388"/>
      <c r="J1" s="388"/>
    </row>
    <row r="2" spans="1:10" s="7" customFormat="1" ht="19.5" customHeight="1">
      <c r="A2" s="388" t="s">
        <v>5</v>
      </c>
      <c r="B2" s="388"/>
      <c r="C2" s="388"/>
      <c r="D2" s="388"/>
      <c r="E2" s="388"/>
      <c r="F2" s="388"/>
      <c r="G2" s="388"/>
      <c r="H2" s="388"/>
      <c r="I2" s="388"/>
      <c r="J2" s="388"/>
    </row>
    <row r="3" spans="1:10" s="44" customFormat="1" ht="44.25" customHeight="1">
      <c r="A3" s="465" t="s">
        <v>6</v>
      </c>
      <c r="B3" s="466"/>
      <c r="C3" s="467"/>
      <c r="D3" s="471" t="s">
        <v>85</v>
      </c>
      <c r="E3" s="441" t="s">
        <v>162</v>
      </c>
      <c r="F3" s="442"/>
      <c r="G3" s="442"/>
      <c r="H3" s="442"/>
      <c r="I3" s="442"/>
      <c r="J3" s="442"/>
    </row>
    <row r="4" spans="1:10" s="44" customFormat="1" ht="80.25" customHeight="1">
      <c r="A4" s="468"/>
      <c r="B4" s="469"/>
      <c r="C4" s="470"/>
      <c r="D4" s="472"/>
      <c r="E4" s="130" t="s">
        <v>330</v>
      </c>
      <c r="F4" s="130" t="s">
        <v>2</v>
      </c>
      <c r="G4" s="130" t="s">
        <v>331</v>
      </c>
      <c r="H4" s="130" t="s">
        <v>2</v>
      </c>
      <c r="I4" s="130" t="s">
        <v>332</v>
      </c>
      <c r="J4" s="130" t="s">
        <v>2</v>
      </c>
    </row>
    <row r="5" spans="1:10" s="44" customFormat="1" ht="114.75" customHeight="1">
      <c r="A5" s="454" t="s">
        <v>125</v>
      </c>
      <c r="B5" s="454"/>
      <c r="C5" s="454"/>
      <c r="D5" s="443">
        <v>20</v>
      </c>
      <c r="E5" s="436" t="s">
        <v>336</v>
      </c>
      <c r="F5" s="433">
        <v>20</v>
      </c>
      <c r="G5" s="443" t="s">
        <v>355</v>
      </c>
      <c r="H5" s="433">
        <v>0</v>
      </c>
      <c r="I5" s="436" t="s">
        <v>336</v>
      </c>
      <c r="J5" s="433">
        <v>20</v>
      </c>
    </row>
    <row r="6" spans="1:10" s="44" customFormat="1" ht="95.25" customHeight="1">
      <c r="A6" s="453" t="s">
        <v>95</v>
      </c>
      <c r="B6" s="453"/>
      <c r="C6" s="453"/>
      <c r="D6" s="443"/>
      <c r="E6" s="437"/>
      <c r="F6" s="433"/>
      <c r="G6" s="443"/>
      <c r="H6" s="433"/>
      <c r="I6" s="437"/>
      <c r="J6" s="433"/>
    </row>
    <row r="7" spans="1:10" s="44" customFormat="1" ht="44.25" customHeight="1">
      <c r="A7" s="451" t="s">
        <v>283</v>
      </c>
      <c r="B7" s="452"/>
      <c r="C7" s="452"/>
      <c r="D7" s="443">
        <v>100</v>
      </c>
      <c r="E7" s="438" t="s">
        <v>372</v>
      </c>
      <c r="F7" s="433">
        <v>100</v>
      </c>
      <c r="G7" s="438" t="s">
        <v>392</v>
      </c>
      <c r="H7" s="433">
        <v>100</v>
      </c>
      <c r="I7" s="438" t="s">
        <v>392</v>
      </c>
      <c r="J7" s="433">
        <v>100</v>
      </c>
    </row>
    <row r="8" spans="1:10" s="44" customFormat="1" ht="27.75" customHeight="1">
      <c r="A8" s="453" t="s">
        <v>96</v>
      </c>
      <c r="B8" s="453"/>
      <c r="C8" s="49" t="s">
        <v>97</v>
      </c>
      <c r="D8" s="443"/>
      <c r="E8" s="439"/>
      <c r="F8" s="433"/>
      <c r="G8" s="439"/>
      <c r="H8" s="433"/>
      <c r="I8" s="439"/>
      <c r="J8" s="433"/>
    </row>
    <row r="9" spans="1:10" s="44" customFormat="1" ht="44.25" customHeight="1">
      <c r="A9" s="448" t="s">
        <v>105</v>
      </c>
      <c r="B9" s="448"/>
      <c r="C9" s="49" t="s">
        <v>15</v>
      </c>
      <c r="D9" s="443"/>
      <c r="E9" s="439"/>
      <c r="F9" s="433"/>
      <c r="G9" s="439"/>
      <c r="H9" s="433"/>
      <c r="I9" s="439"/>
      <c r="J9" s="433"/>
    </row>
    <row r="10" spans="1:10" s="44" customFormat="1" ht="44.25" customHeight="1">
      <c r="A10" s="448" t="s">
        <v>250</v>
      </c>
      <c r="B10" s="448"/>
      <c r="C10" s="49" t="s">
        <v>13</v>
      </c>
      <c r="D10" s="443"/>
      <c r="E10" s="439"/>
      <c r="F10" s="433"/>
      <c r="G10" s="439"/>
      <c r="H10" s="433"/>
      <c r="I10" s="439"/>
      <c r="J10" s="433"/>
    </row>
    <row r="11" spans="1:10" s="44" customFormat="1" ht="44.25" customHeight="1">
      <c r="A11" s="448" t="s">
        <v>108</v>
      </c>
      <c r="B11" s="448"/>
      <c r="C11" s="49" t="s">
        <v>12</v>
      </c>
      <c r="D11" s="443"/>
      <c r="E11" s="439"/>
      <c r="F11" s="433"/>
      <c r="G11" s="439"/>
      <c r="H11" s="433"/>
      <c r="I11" s="439"/>
      <c r="J11" s="433"/>
    </row>
    <row r="12" spans="1:10" s="44" customFormat="1" ht="44.25" customHeight="1">
      <c r="A12" s="448" t="s">
        <v>109</v>
      </c>
      <c r="B12" s="448"/>
      <c r="C12" s="49" t="s">
        <v>53</v>
      </c>
      <c r="D12" s="443"/>
      <c r="E12" s="439"/>
      <c r="F12" s="433"/>
      <c r="G12" s="439"/>
      <c r="H12" s="433"/>
      <c r="I12" s="439"/>
      <c r="J12" s="433"/>
    </row>
    <row r="13" spans="1:10" s="44" customFormat="1" ht="39" customHeight="1">
      <c r="A13" s="448" t="s">
        <v>111</v>
      </c>
      <c r="B13" s="448"/>
      <c r="C13" s="49" t="s">
        <v>14</v>
      </c>
      <c r="D13" s="443"/>
      <c r="E13" s="439"/>
      <c r="F13" s="433"/>
      <c r="G13" s="439"/>
      <c r="H13" s="433"/>
      <c r="I13" s="439"/>
      <c r="J13" s="433"/>
    </row>
    <row r="14" spans="1:10" s="44" customFormat="1" ht="38.25" customHeight="1">
      <c r="A14" s="448" t="s">
        <v>112</v>
      </c>
      <c r="B14" s="448"/>
      <c r="C14" s="49" t="s">
        <v>52</v>
      </c>
      <c r="D14" s="443"/>
      <c r="E14" s="439"/>
      <c r="F14" s="433"/>
      <c r="G14" s="439"/>
      <c r="H14" s="433"/>
      <c r="I14" s="439"/>
      <c r="J14" s="433"/>
    </row>
    <row r="15" spans="1:10" s="44" customFormat="1" ht="44.25" customHeight="1">
      <c r="A15" s="448" t="s">
        <v>99</v>
      </c>
      <c r="B15" s="448"/>
      <c r="C15" s="49" t="s">
        <v>49</v>
      </c>
      <c r="D15" s="443"/>
      <c r="E15" s="439"/>
      <c r="F15" s="433"/>
      <c r="G15" s="439"/>
      <c r="H15" s="433"/>
      <c r="I15" s="439"/>
      <c r="J15" s="433"/>
    </row>
    <row r="16" spans="1:10" s="44" customFormat="1" ht="44.25" customHeight="1">
      <c r="A16" s="448" t="s">
        <v>100</v>
      </c>
      <c r="B16" s="448"/>
      <c r="C16" s="49" t="s">
        <v>102</v>
      </c>
      <c r="D16" s="443"/>
      <c r="E16" s="439"/>
      <c r="F16" s="433"/>
      <c r="G16" s="439"/>
      <c r="H16" s="433"/>
      <c r="I16" s="439"/>
      <c r="J16" s="433"/>
    </row>
    <row r="17" spans="1:10" s="44" customFormat="1" ht="44.25" customHeight="1">
      <c r="A17" s="448" t="s">
        <v>101</v>
      </c>
      <c r="B17" s="448"/>
      <c r="C17" s="49" t="s">
        <v>203</v>
      </c>
      <c r="D17" s="443"/>
      <c r="E17" s="439"/>
      <c r="F17" s="433"/>
      <c r="G17" s="439"/>
      <c r="H17" s="433"/>
      <c r="I17" s="439"/>
      <c r="J17" s="433"/>
    </row>
    <row r="18" spans="1:10" s="44" customFormat="1" ht="44.25" customHeight="1">
      <c r="A18" s="448" t="s">
        <v>251</v>
      </c>
      <c r="B18" s="448"/>
      <c r="C18" s="49" t="s">
        <v>103</v>
      </c>
      <c r="D18" s="443"/>
      <c r="E18" s="440"/>
      <c r="F18" s="433"/>
      <c r="G18" s="440"/>
      <c r="H18" s="433"/>
      <c r="I18" s="440"/>
      <c r="J18" s="433"/>
    </row>
    <row r="19" spans="1:10" s="44" customFormat="1" ht="44.25" customHeight="1">
      <c r="A19" s="454" t="s">
        <v>284</v>
      </c>
      <c r="B19" s="453"/>
      <c r="C19" s="453"/>
      <c r="D19" s="443">
        <v>30</v>
      </c>
      <c r="E19" s="433" t="s">
        <v>373</v>
      </c>
      <c r="F19" s="433">
        <v>30</v>
      </c>
      <c r="G19" s="438" t="s">
        <v>393</v>
      </c>
      <c r="H19" s="433">
        <v>30</v>
      </c>
      <c r="I19" s="438" t="s">
        <v>393</v>
      </c>
      <c r="J19" s="433">
        <v>30</v>
      </c>
    </row>
    <row r="20" spans="1:10" s="44" customFormat="1" ht="44.25" customHeight="1">
      <c r="A20" s="450" t="s">
        <v>104</v>
      </c>
      <c r="B20" s="450"/>
      <c r="C20" s="49" t="s">
        <v>97</v>
      </c>
      <c r="D20" s="443"/>
      <c r="E20" s="433"/>
      <c r="F20" s="433"/>
      <c r="G20" s="439"/>
      <c r="H20" s="433"/>
      <c r="I20" s="439"/>
      <c r="J20" s="433"/>
    </row>
    <row r="21" spans="1:10" s="44" customFormat="1" ht="32.25" customHeight="1">
      <c r="A21" s="449" t="s">
        <v>252</v>
      </c>
      <c r="B21" s="449"/>
      <c r="C21" s="49" t="s">
        <v>106</v>
      </c>
      <c r="D21" s="443"/>
      <c r="E21" s="433"/>
      <c r="F21" s="433"/>
      <c r="G21" s="439"/>
      <c r="H21" s="433"/>
      <c r="I21" s="439"/>
      <c r="J21" s="433"/>
    </row>
    <row r="22" spans="1:13" s="44" customFormat="1" ht="60" customHeight="1">
      <c r="A22" s="449" t="s">
        <v>253</v>
      </c>
      <c r="B22" s="449"/>
      <c r="C22" s="49" t="s">
        <v>107</v>
      </c>
      <c r="D22" s="443"/>
      <c r="E22" s="433"/>
      <c r="F22" s="433"/>
      <c r="G22" s="439"/>
      <c r="H22" s="433"/>
      <c r="I22" s="439"/>
      <c r="J22" s="433"/>
      <c r="M22" s="239"/>
    </row>
    <row r="23" spans="1:13" s="44" customFormat="1" ht="40.5" customHeight="1">
      <c r="A23" s="449" t="s">
        <v>254</v>
      </c>
      <c r="B23" s="449"/>
      <c r="C23" s="49" t="s">
        <v>16</v>
      </c>
      <c r="D23" s="443"/>
      <c r="E23" s="433"/>
      <c r="F23" s="433"/>
      <c r="G23" s="439"/>
      <c r="H23" s="433"/>
      <c r="I23" s="439"/>
      <c r="J23" s="433"/>
      <c r="M23" s="239"/>
    </row>
    <row r="24" spans="1:13" s="44" customFormat="1" ht="51" customHeight="1">
      <c r="A24" s="449" t="s">
        <v>255</v>
      </c>
      <c r="B24" s="449"/>
      <c r="C24" s="49" t="s">
        <v>110</v>
      </c>
      <c r="D24" s="443"/>
      <c r="E24" s="433"/>
      <c r="F24" s="433"/>
      <c r="G24" s="439"/>
      <c r="H24" s="433"/>
      <c r="I24" s="439"/>
      <c r="J24" s="433"/>
      <c r="M24" s="239"/>
    </row>
    <row r="25" spans="1:13" s="44" customFormat="1" ht="51" customHeight="1">
      <c r="A25" s="449" t="s">
        <v>256</v>
      </c>
      <c r="B25" s="449"/>
      <c r="C25" s="49" t="s">
        <v>15</v>
      </c>
      <c r="D25" s="443"/>
      <c r="E25" s="433"/>
      <c r="F25" s="433"/>
      <c r="G25" s="439"/>
      <c r="H25" s="433"/>
      <c r="I25" s="439"/>
      <c r="J25" s="433"/>
      <c r="M25" s="239"/>
    </row>
    <row r="26" spans="1:10" s="44" customFormat="1" ht="51" customHeight="1">
      <c r="A26" s="449" t="s">
        <v>257</v>
      </c>
      <c r="B26" s="449"/>
      <c r="C26" s="49" t="s">
        <v>113</v>
      </c>
      <c r="D26" s="443"/>
      <c r="E26" s="433"/>
      <c r="F26" s="433"/>
      <c r="G26" s="439"/>
      <c r="H26" s="433"/>
      <c r="I26" s="439"/>
      <c r="J26" s="433"/>
    </row>
    <row r="27" spans="1:10" s="44" customFormat="1" ht="51" customHeight="1">
      <c r="A27" s="449" t="s">
        <v>98</v>
      </c>
      <c r="B27" s="449"/>
      <c r="C27" s="49" t="s">
        <v>114</v>
      </c>
      <c r="D27" s="443"/>
      <c r="E27" s="433"/>
      <c r="F27" s="433"/>
      <c r="G27" s="439"/>
      <c r="H27" s="433"/>
      <c r="I27" s="439"/>
      <c r="J27" s="433"/>
    </row>
    <row r="28" spans="1:10" s="44" customFormat="1" ht="51" customHeight="1">
      <c r="A28" s="449" t="s">
        <v>109</v>
      </c>
      <c r="B28" s="449"/>
      <c r="C28" s="49" t="s">
        <v>13</v>
      </c>
      <c r="D28" s="443"/>
      <c r="E28" s="433"/>
      <c r="F28" s="433"/>
      <c r="G28" s="439"/>
      <c r="H28" s="433"/>
      <c r="I28" s="439"/>
      <c r="J28" s="433"/>
    </row>
    <row r="29" spans="1:10" s="44" customFormat="1" ht="51" customHeight="1">
      <c r="A29" s="449" t="s">
        <v>111</v>
      </c>
      <c r="B29" s="449"/>
      <c r="C29" s="49" t="s">
        <v>54</v>
      </c>
      <c r="D29" s="443"/>
      <c r="E29" s="433"/>
      <c r="F29" s="433"/>
      <c r="G29" s="439"/>
      <c r="H29" s="433"/>
      <c r="I29" s="439"/>
      <c r="J29" s="433"/>
    </row>
    <row r="30" spans="1:10" s="44" customFormat="1" ht="51" customHeight="1">
      <c r="A30" s="449" t="s">
        <v>99</v>
      </c>
      <c r="B30" s="449"/>
      <c r="C30" s="49" t="s">
        <v>12</v>
      </c>
      <c r="D30" s="443"/>
      <c r="E30" s="433"/>
      <c r="F30" s="433"/>
      <c r="G30" s="440"/>
      <c r="H30" s="433"/>
      <c r="I30" s="440"/>
      <c r="J30" s="433"/>
    </row>
    <row r="31" spans="1:10" s="44" customFormat="1" ht="53.25" customHeight="1">
      <c r="A31" s="451" t="s">
        <v>126</v>
      </c>
      <c r="B31" s="451"/>
      <c r="C31" s="451"/>
      <c r="D31" s="443">
        <v>30</v>
      </c>
      <c r="E31" s="433" t="s">
        <v>374</v>
      </c>
      <c r="F31" s="433">
        <v>30</v>
      </c>
      <c r="G31" s="443" t="s">
        <v>394</v>
      </c>
      <c r="H31" s="433">
        <v>30</v>
      </c>
      <c r="I31" s="443" t="s">
        <v>394</v>
      </c>
      <c r="J31" s="433">
        <v>30</v>
      </c>
    </row>
    <row r="32" spans="1:10" s="44" customFormat="1" ht="24" customHeight="1">
      <c r="A32" s="453" t="s">
        <v>115</v>
      </c>
      <c r="B32" s="453"/>
      <c r="C32" s="49" t="s">
        <v>97</v>
      </c>
      <c r="D32" s="443"/>
      <c r="E32" s="433"/>
      <c r="F32" s="433"/>
      <c r="G32" s="443"/>
      <c r="H32" s="433"/>
      <c r="I32" s="443"/>
      <c r="J32" s="433"/>
    </row>
    <row r="33" spans="1:10" s="44" customFormat="1" ht="30.75" customHeight="1">
      <c r="A33" s="448" t="s">
        <v>116</v>
      </c>
      <c r="B33" s="448"/>
      <c r="C33" s="49" t="s">
        <v>16</v>
      </c>
      <c r="D33" s="443"/>
      <c r="E33" s="433"/>
      <c r="F33" s="433"/>
      <c r="G33" s="443"/>
      <c r="H33" s="433"/>
      <c r="I33" s="443"/>
      <c r="J33" s="433"/>
    </row>
    <row r="34" spans="1:10" s="44" customFormat="1" ht="32.25" customHeight="1">
      <c r="A34" s="448" t="s">
        <v>117</v>
      </c>
      <c r="B34" s="448"/>
      <c r="C34" s="49" t="s">
        <v>15</v>
      </c>
      <c r="D34" s="443"/>
      <c r="E34" s="433"/>
      <c r="F34" s="433"/>
      <c r="G34" s="443"/>
      <c r="H34" s="433"/>
      <c r="I34" s="443"/>
      <c r="J34" s="433"/>
    </row>
    <row r="35" spans="1:10" s="44" customFormat="1" ht="33" customHeight="1">
      <c r="A35" s="448" t="s">
        <v>118</v>
      </c>
      <c r="B35" s="448"/>
      <c r="C35" s="49" t="s">
        <v>13</v>
      </c>
      <c r="D35" s="443"/>
      <c r="E35" s="433"/>
      <c r="F35" s="433"/>
      <c r="G35" s="443"/>
      <c r="H35" s="433"/>
      <c r="I35" s="443"/>
      <c r="J35" s="433"/>
    </row>
    <row r="36" spans="1:10" s="44" customFormat="1" ht="33.75" customHeight="1">
      <c r="A36" s="448" t="s">
        <v>119</v>
      </c>
      <c r="B36" s="448"/>
      <c r="C36" s="49" t="s">
        <v>54</v>
      </c>
      <c r="D36" s="443"/>
      <c r="E36" s="433"/>
      <c r="F36" s="433"/>
      <c r="G36" s="443"/>
      <c r="H36" s="433"/>
      <c r="I36" s="443"/>
      <c r="J36" s="433"/>
    </row>
    <row r="37" spans="1:10" s="44" customFormat="1" ht="36.75" customHeight="1">
      <c r="A37" s="448" t="s">
        <v>120</v>
      </c>
      <c r="B37" s="448"/>
      <c r="C37" s="49" t="s">
        <v>12</v>
      </c>
      <c r="D37" s="443"/>
      <c r="E37" s="433"/>
      <c r="F37" s="433"/>
      <c r="G37" s="443"/>
      <c r="H37" s="433"/>
      <c r="I37" s="443"/>
      <c r="J37" s="433"/>
    </row>
    <row r="38" spans="1:10" s="44" customFormat="1" ht="33" customHeight="1">
      <c r="A38" s="456" t="s">
        <v>121</v>
      </c>
      <c r="B38" s="456"/>
      <c r="C38" s="456"/>
      <c r="D38" s="443"/>
      <c r="E38" s="433"/>
      <c r="F38" s="433"/>
      <c r="G38" s="443"/>
      <c r="H38" s="433"/>
      <c r="I38" s="443"/>
      <c r="J38" s="433"/>
    </row>
    <row r="39" spans="1:10" s="44" customFormat="1" ht="62.25" customHeight="1">
      <c r="A39" s="460" t="s">
        <v>122</v>
      </c>
      <c r="B39" s="460"/>
      <c r="C39" s="460"/>
      <c r="D39" s="443"/>
      <c r="E39" s="433"/>
      <c r="F39" s="433"/>
      <c r="G39" s="443"/>
      <c r="H39" s="433"/>
      <c r="I39" s="443"/>
      <c r="J39" s="433"/>
    </row>
    <row r="40" spans="1:10" s="44" customFormat="1" ht="40.5" customHeight="1">
      <c r="A40" s="456" t="s">
        <v>123</v>
      </c>
      <c r="B40" s="456"/>
      <c r="C40" s="456"/>
      <c r="D40" s="443"/>
      <c r="E40" s="433"/>
      <c r="F40" s="433"/>
      <c r="G40" s="443"/>
      <c r="H40" s="433"/>
      <c r="I40" s="443"/>
      <c r="J40" s="433"/>
    </row>
    <row r="41" spans="1:10" s="44" customFormat="1" ht="263.25" customHeight="1">
      <c r="A41" s="460" t="s">
        <v>130</v>
      </c>
      <c r="B41" s="460"/>
      <c r="C41" s="460"/>
      <c r="D41" s="50">
        <v>10</v>
      </c>
      <c r="E41" s="194" t="s">
        <v>375</v>
      </c>
      <c r="F41" s="286">
        <v>10</v>
      </c>
      <c r="G41" s="50" t="s">
        <v>355</v>
      </c>
      <c r="H41" s="277">
        <v>0</v>
      </c>
      <c r="I41" s="194" t="s">
        <v>375</v>
      </c>
      <c r="J41" s="321">
        <v>10</v>
      </c>
    </row>
    <row r="42" spans="1:10" s="44" customFormat="1" ht="42" customHeight="1">
      <c r="A42" s="454" t="s">
        <v>127</v>
      </c>
      <c r="B42" s="453"/>
      <c r="C42" s="453"/>
      <c r="D42" s="50">
        <v>10</v>
      </c>
      <c r="E42" s="194" t="s">
        <v>376</v>
      </c>
      <c r="F42" s="195">
        <v>10</v>
      </c>
      <c r="G42" s="50" t="s">
        <v>355</v>
      </c>
      <c r="H42" s="277">
        <v>0</v>
      </c>
      <c r="I42" s="194" t="s">
        <v>376</v>
      </c>
      <c r="J42" s="195">
        <v>10</v>
      </c>
    </row>
    <row r="43" spans="1:10" s="44" customFormat="1" ht="48.75" customHeight="1">
      <c r="A43" s="454" t="s">
        <v>160</v>
      </c>
      <c r="B43" s="454"/>
      <c r="C43" s="454"/>
      <c r="D43" s="443">
        <v>20</v>
      </c>
      <c r="E43" s="433" t="s">
        <v>336</v>
      </c>
      <c r="F43" s="433">
        <v>20</v>
      </c>
      <c r="G43" s="443" t="s">
        <v>336</v>
      </c>
      <c r="H43" s="433">
        <v>20</v>
      </c>
      <c r="I43" s="443" t="s">
        <v>336</v>
      </c>
      <c r="J43" s="433">
        <v>20</v>
      </c>
    </row>
    <row r="44" spans="1:10" s="44" customFormat="1" ht="123.75" customHeight="1">
      <c r="A44" s="461" t="s">
        <v>159</v>
      </c>
      <c r="B44" s="462"/>
      <c r="C44" s="463"/>
      <c r="D44" s="443"/>
      <c r="E44" s="433"/>
      <c r="F44" s="433"/>
      <c r="G44" s="443"/>
      <c r="H44" s="433"/>
      <c r="I44" s="443"/>
      <c r="J44" s="433"/>
    </row>
    <row r="45" spans="1:10" s="44" customFormat="1" ht="63" customHeight="1">
      <c r="A45" s="464" t="s">
        <v>128</v>
      </c>
      <c r="B45" s="455"/>
      <c r="C45" s="455"/>
      <c r="D45" s="443">
        <v>20</v>
      </c>
      <c r="E45" s="434" t="s">
        <v>336</v>
      </c>
      <c r="F45" s="434">
        <v>20</v>
      </c>
      <c r="G45" s="444" t="s">
        <v>355</v>
      </c>
      <c r="H45" s="434">
        <v>0</v>
      </c>
      <c r="I45" s="434" t="s">
        <v>336</v>
      </c>
      <c r="J45" s="434">
        <v>20</v>
      </c>
    </row>
    <row r="46" spans="1:10" s="44" customFormat="1" ht="116.25" customHeight="1">
      <c r="A46" s="455" t="s">
        <v>78</v>
      </c>
      <c r="B46" s="455"/>
      <c r="C46" s="455"/>
      <c r="D46" s="443"/>
      <c r="E46" s="435"/>
      <c r="F46" s="435"/>
      <c r="G46" s="445"/>
      <c r="H46" s="435"/>
      <c r="I46" s="435"/>
      <c r="J46" s="435"/>
    </row>
    <row r="47" spans="1:10" s="44" customFormat="1" ht="49.5" customHeight="1">
      <c r="A47" s="453" t="s">
        <v>124</v>
      </c>
      <c r="B47" s="453"/>
      <c r="C47" s="453"/>
      <c r="D47" s="443"/>
      <c r="E47" s="435"/>
      <c r="F47" s="435"/>
      <c r="G47" s="445"/>
      <c r="H47" s="435"/>
      <c r="I47" s="435"/>
      <c r="J47" s="435"/>
    </row>
    <row r="48" spans="1:10" s="44" customFormat="1" ht="81" customHeight="1">
      <c r="A48" s="455" t="s">
        <v>79</v>
      </c>
      <c r="B48" s="455"/>
      <c r="C48" s="455"/>
      <c r="D48" s="443"/>
      <c r="E48" s="435"/>
      <c r="F48" s="435"/>
      <c r="G48" s="446"/>
      <c r="H48" s="447"/>
      <c r="I48" s="435"/>
      <c r="J48" s="435"/>
    </row>
    <row r="49" spans="1:10" s="44" customFormat="1" ht="81" customHeight="1">
      <c r="A49" s="457" t="s">
        <v>141</v>
      </c>
      <c r="B49" s="458"/>
      <c r="C49" s="459"/>
      <c r="D49" s="50">
        <v>10</v>
      </c>
      <c r="E49" s="277" t="s">
        <v>336</v>
      </c>
      <c r="F49" s="277">
        <v>10</v>
      </c>
      <c r="G49" s="50" t="s">
        <v>355</v>
      </c>
      <c r="H49" s="321">
        <v>0</v>
      </c>
      <c r="I49" s="321" t="s">
        <v>336</v>
      </c>
      <c r="J49" s="321">
        <v>10</v>
      </c>
    </row>
    <row r="50" spans="1:10" s="44" customFormat="1" ht="167.25" customHeight="1">
      <c r="A50" s="457" t="s">
        <v>158</v>
      </c>
      <c r="B50" s="458"/>
      <c r="C50" s="459"/>
      <c r="D50" s="50">
        <v>15</v>
      </c>
      <c r="E50" s="277" t="s">
        <v>336</v>
      </c>
      <c r="F50" s="277">
        <v>15</v>
      </c>
      <c r="G50" s="321" t="s">
        <v>336</v>
      </c>
      <c r="H50" s="321">
        <v>15</v>
      </c>
      <c r="I50" s="321" t="s">
        <v>336</v>
      </c>
      <c r="J50" s="321">
        <v>15</v>
      </c>
    </row>
    <row r="51" spans="1:10" s="147" customFormat="1" ht="119.25" customHeight="1">
      <c r="A51" s="457" t="s">
        <v>466</v>
      </c>
      <c r="B51" s="458"/>
      <c r="C51" s="459"/>
      <c r="D51" s="50">
        <v>15</v>
      </c>
      <c r="E51" s="232" t="s">
        <v>336</v>
      </c>
      <c r="F51" s="232">
        <v>15</v>
      </c>
      <c r="G51" s="50" t="s">
        <v>355</v>
      </c>
      <c r="H51" s="232">
        <v>0</v>
      </c>
      <c r="I51" s="50" t="s">
        <v>355</v>
      </c>
      <c r="J51" s="232">
        <v>0</v>
      </c>
    </row>
    <row r="52" spans="1:10" s="174" customFormat="1" ht="90.75" customHeight="1">
      <c r="A52" s="457" t="s">
        <v>258</v>
      </c>
      <c r="B52" s="458"/>
      <c r="C52" s="459"/>
      <c r="D52" s="50">
        <v>20</v>
      </c>
      <c r="E52" s="196" t="s">
        <v>336</v>
      </c>
      <c r="F52" s="196">
        <v>20</v>
      </c>
      <c r="G52" s="196" t="s">
        <v>336</v>
      </c>
      <c r="H52" s="196">
        <v>20</v>
      </c>
      <c r="I52" s="196" t="s">
        <v>336</v>
      </c>
      <c r="J52" s="196">
        <v>20</v>
      </c>
    </row>
    <row r="53" spans="1:10" ht="20.25">
      <c r="A53" s="233" t="s">
        <v>259</v>
      </c>
      <c r="B53" s="234"/>
      <c r="C53" s="234"/>
      <c r="D53" s="235">
        <f>SUM(D5:D52)</f>
        <v>300</v>
      </c>
      <c r="E53" s="172"/>
      <c r="F53" s="173">
        <f>SUM(F5:F52)</f>
        <v>300</v>
      </c>
      <c r="G53" s="172"/>
      <c r="H53" s="173">
        <f>SUM(H5:H52)</f>
        <v>215</v>
      </c>
      <c r="I53" s="172"/>
      <c r="J53" s="173">
        <f>SUM(J5:J52)</f>
        <v>285</v>
      </c>
    </row>
  </sheetData>
  <sheetProtection/>
  <mergeCells count="95">
    <mergeCell ref="I31:I40"/>
    <mergeCell ref="J31:J40"/>
    <mergeCell ref="I43:I44"/>
    <mergeCell ref="J43:J44"/>
    <mergeCell ref="I45:I48"/>
    <mergeCell ref="J45:J48"/>
    <mergeCell ref="A3:C4"/>
    <mergeCell ref="D3:D4"/>
    <mergeCell ref="J5:J6"/>
    <mergeCell ref="J7:J18"/>
    <mergeCell ref="I19:I30"/>
    <mergeCell ref="J19:J30"/>
    <mergeCell ref="I5:I6"/>
    <mergeCell ref="I7:I18"/>
    <mergeCell ref="A28:B28"/>
    <mergeCell ref="A23:B23"/>
    <mergeCell ref="D43:D44"/>
    <mergeCell ref="A44:C44"/>
    <mergeCell ref="A45:C45"/>
    <mergeCell ref="A39:C39"/>
    <mergeCell ref="A40:C40"/>
    <mergeCell ref="A52:C52"/>
    <mergeCell ref="A50:C50"/>
    <mergeCell ref="A51:C51"/>
    <mergeCell ref="A47:C47"/>
    <mergeCell ref="A31:C31"/>
    <mergeCell ref="A30:B30"/>
    <mergeCell ref="A29:B29"/>
    <mergeCell ref="A49:C49"/>
    <mergeCell ref="A43:C43"/>
    <mergeCell ref="A32:B32"/>
    <mergeCell ref="A35:B35"/>
    <mergeCell ref="A41:C41"/>
    <mergeCell ref="A36:B36"/>
    <mergeCell ref="A37:B37"/>
    <mergeCell ref="D19:D30"/>
    <mergeCell ref="D45:D48"/>
    <mergeCell ref="A48:C48"/>
    <mergeCell ref="A34:B34"/>
    <mergeCell ref="A42:C42"/>
    <mergeCell ref="A33:B33"/>
    <mergeCell ref="A38:C38"/>
    <mergeCell ref="D31:D40"/>
    <mergeCell ref="A19:C19"/>
    <mergeCell ref="A46:C46"/>
    <mergeCell ref="A5:C5"/>
    <mergeCell ref="A15:B15"/>
    <mergeCell ref="A9:B9"/>
    <mergeCell ref="A18:B18"/>
    <mergeCell ref="A6:C6"/>
    <mergeCell ref="A25:B25"/>
    <mergeCell ref="A21:B21"/>
    <mergeCell ref="A22:B22"/>
    <mergeCell ref="A1:J1"/>
    <mergeCell ref="A2:J2"/>
    <mergeCell ref="A7:C7"/>
    <mergeCell ref="A8:B8"/>
    <mergeCell ref="A16:B16"/>
    <mergeCell ref="A17:B17"/>
    <mergeCell ref="A10:B10"/>
    <mergeCell ref="A11:B11"/>
    <mergeCell ref="A12:B12"/>
    <mergeCell ref="A13:B13"/>
    <mergeCell ref="H7:H18"/>
    <mergeCell ref="G19:G30"/>
    <mergeCell ref="H19:H30"/>
    <mergeCell ref="D5:D6"/>
    <mergeCell ref="D7:D18"/>
    <mergeCell ref="A14:B14"/>
    <mergeCell ref="A26:B26"/>
    <mergeCell ref="A27:B27"/>
    <mergeCell ref="A20:B20"/>
    <mergeCell ref="A24:B24"/>
    <mergeCell ref="E3:J3"/>
    <mergeCell ref="G31:G40"/>
    <mergeCell ref="H31:H40"/>
    <mergeCell ref="G43:G44"/>
    <mergeCell ref="H43:H44"/>
    <mergeCell ref="G45:G48"/>
    <mergeCell ref="H45:H48"/>
    <mergeCell ref="G5:G6"/>
    <mergeCell ref="H5:H6"/>
    <mergeCell ref="G7:G18"/>
    <mergeCell ref="E5:E6"/>
    <mergeCell ref="F5:F6"/>
    <mergeCell ref="E7:E18"/>
    <mergeCell ref="F7:F18"/>
    <mergeCell ref="E19:E30"/>
    <mergeCell ref="F19:F30"/>
    <mergeCell ref="E31:E40"/>
    <mergeCell ref="F31:F40"/>
    <mergeCell ref="E43:E44"/>
    <mergeCell ref="F43:F44"/>
    <mergeCell ref="E45:E48"/>
    <mergeCell ref="F45:F48"/>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2.xml><?xml version="1.0" encoding="utf-8"?>
<worksheet xmlns="http://schemas.openxmlformats.org/spreadsheetml/2006/main" xmlns:r="http://schemas.openxmlformats.org/officeDocument/2006/relationships">
  <dimension ref="A1:K75"/>
  <sheetViews>
    <sheetView zoomScale="87" zoomScaleNormal="87" zoomScalePageLayoutView="0" workbookViewId="0" topLeftCell="A1">
      <selection activeCell="A5" sqref="A5"/>
    </sheetView>
  </sheetViews>
  <sheetFormatPr defaultColWidth="11.421875" defaultRowHeight="15"/>
  <cols>
    <col min="1" max="1" width="36.00390625" style="0" customWidth="1"/>
    <col min="4" max="4" width="4.8515625" style="0" customWidth="1"/>
    <col min="5" max="5" width="31.140625" style="0" customWidth="1"/>
    <col min="6" max="6" width="28.421875" style="0" customWidth="1"/>
    <col min="7" max="7" width="23.140625" style="0" customWidth="1"/>
    <col min="8" max="10" width="23.00390625" style="0" customWidth="1"/>
    <col min="11" max="11" width="26.57421875" style="0" customWidth="1"/>
  </cols>
  <sheetData>
    <row r="1" spans="1:11" s="86" customFormat="1" ht="20.25">
      <c r="A1" s="340" t="s">
        <v>178</v>
      </c>
      <c r="B1" s="340"/>
      <c r="C1" s="340"/>
      <c r="D1" s="340"/>
      <c r="E1" s="340"/>
      <c r="F1" s="340"/>
      <c r="G1" s="340"/>
      <c r="H1" s="340"/>
      <c r="I1" s="340"/>
      <c r="J1" s="340"/>
      <c r="K1" s="340"/>
    </row>
    <row r="2" spans="1:11" ht="20.25">
      <c r="A2" s="341" t="s">
        <v>180</v>
      </c>
      <c r="B2" s="341"/>
      <c r="C2" s="341"/>
      <c r="D2" s="341"/>
      <c r="E2" s="341"/>
      <c r="F2" s="341"/>
      <c r="G2" s="341"/>
      <c r="H2" s="341"/>
      <c r="I2" s="341"/>
      <c r="J2" s="341"/>
      <c r="K2" s="341"/>
    </row>
    <row r="3" spans="1:11" ht="15">
      <c r="A3" s="103"/>
      <c r="B3" s="104"/>
      <c r="C3" s="104"/>
      <c r="D3" s="105"/>
      <c r="E3" s="104"/>
      <c r="F3" s="104"/>
      <c r="G3" s="104"/>
      <c r="H3" s="104"/>
      <c r="I3" s="104"/>
      <c r="J3" s="104"/>
      <c r="K3" s="104"/>
    </row>
    <row r="4" spans="1:11" ht="20.25">
      <c r="A4" s="337" t="s">
        <v>181</v>
      </c>
      <c r="B4" s="337"/>
      <c r="C4" s="337"/>
      <c r="D4" s="337"/>
      <c r="E4" s="337"/>
      <c r="F4" s="337"/>
      <c r="G4" s="337"/>
      <c r="H4" s="337"/>
      <c r="I4" s="337"/>
      <c r="J4" s="337"/>
      <c r="K4" s="337"/>
    </row>
    <row r="5" spans="1:11" ht="15">
      <c r="A5" s="106"/>
      <c r="B5" s="107"/>
      <c r="C5" s="107"/>
      <c r="D5" s="108"/>
      <c r="E5" s="107"/>
      <c r="F5" s="107"/>
      <c r="G5" s="107"/>
      <c r="H5" s="107"/>
      <c r="I5" s="107"/>
      <c r="J5" s="107"/>
      <c r="K5" s="109"/>
    </row>
    <row r="6" spans="1:11" ht="31.5" customHeight="1">
      <c r="A6" s="110" t="s">
        <v>182</v>
      </c>
      <c r="B6" s="111" t="s">
        <v>183</v>
      </c>
      <c r="C6" s="112" t="s">
        <v>184</v>
      </c>
      <c r="D6" s="113"/>
      <c r="E6" s="334" t="s">
        <v>330</v>
      </c>
      <c r="F6" s="334"/>
      <c r="G6" s="334"/>
      <c r="H6" s="334"/>
      <c r="I6" s="334"/>
      <c r="J6" s="334"/>
      <c r="K6" s="334"/>
    </row>
    <row r="7" spans="1:11" ht="68.25" customHeight="1">
      <c r="A7" s="179" t="s">
        <v>185</v>
      </c>
      <c r="B7" s="175"/>
      <c r="C7" s="176">
        <f>+B8+B9</f>
        <v>527.2565341917372</v>
      </c>
      <c r="D7" s="114"/>
      <c r="E7" s="166" t="s">
        <v>193</v>
      </c>
      <c r="F7" s="166" t="s">
        <v>307</v>
      </c>
      <c r="G7" s="166" t="s">
        <v>194</v>
      </c>
      <c r="H7" s="166" t="s">
        <v>195</v>
      </c>
      <c r="I7" s="166" t="s">
        <v>204</v>
      </c>
      <c r="J7" s="166" t="s">
        <v>309</v>
      </c>
      <c r="K7" s="166" t="s">
        <v>308</v>
      </c>
    </row>
    <row r="8" spans="1:11" ht="15">
      <c r="A8" s="180" t="s">
        <v>207</v>
      </c>
      <c r="B8" s="177">
        <f>E8+F8+G8+H8+I8+J8+K8</f>
        <v>361.25753419173714</v>
      </c>
      <c r="C8" s="177"/>
      <c r="D8" s="115"/>
      <c r="E8" s="207">
        <f>'Económica Prima'!E8*25%</f>
        <v>73.61101409985257</v>
      </c>
      <c r="F8" s="207">
        <f>'Económica Prima'!E10*15%</f>
        <v>42.07479964381122</v>
      </c>
      <c r="G8" s="207">
        <f>'Económica Prima'!E9*10%</f>
        <v>25.046382189239335</v>
      </c>
      <c r="H8" s="207">
        <f>'Económica Prima'!E11*10%</f>
        <v>36.93449974951721</v>
      </c>
      <c r="I8" s="207">
        <f>'Económica Prima'!E13*10%</f>
        <v>26.894409937888202</v>
      </c>
      <c r="J8" s="207">
        <f>'Económica Prima'!E12*5%</f>
        <v>14.0625</v>
      </c>
      <c r="K8" s="207">
        <f>'Económica Prima'!E14*25%</f>
        <v>142.63392857142858</v>
      </c>
    </row>
    <row r="9" spans="1:11" ht="15">
      <c r="A9" s="180" t="s">
        <v>186</v>
      </c>
      <c r="B9" s="177">
        <f>E9+F9+G9+H9+I9+J9+K9</f>
        <v>165.999</v>
      </c>
      <c r="C9" s="177"/>
      <c r="D9" s="115"/>
      <c r="E9" s="207">
        <f>Deducibles!D116*25%</f>
        <v>70</v>
      </c>
      <c r="F9" s="207">
        <f>Deducibles!D203*15%</f>
        <v>45</v>
      </c>
      <c r="G9" s="207">
        <f>Deducibles!D159*10%</f>
        <v>30</v>
      </c>
      <c r="H9" s="207"/>
      <c r="I9" s="207">
        <f>Deducibles!D264*10%</f>
        <v>5.999</v>
      </c>
      <c r="J9" s="207">
        <f>Deducibles!D245*5%</f>
        <v>15</v>
      </c>
      <c r="K9" s="207"/>
    </row>
    <row r="10" spans="1:11" ht="15">
      <c r="A10" s="181" t="s">
        <v>187</v>
      </c>
      <c r="B10" s="176"/>
      <c r="C10" s="176">
        <f>B11</f>
        <v>237.41296648091858</v>
      </c>
      <c r="D10" s="114"/>
      <c r="E10" s="207"/>
      <c r="F10" s="207"/>
      <c r="G10" s="207"/>
      <c r="H10" s="207"/>
      <c r="I10" s="207"/>
      <c r="J10" s="207"/>
      <c r="K10" s="207"/>
    </row>
    <row r="11" spans="1:11" ht="29.25">
      <c r="A11" s="182" t="s">
        <v>188</v>
      </c>
      <c r="B11" s="177">
        <f>E11+F11+G11+H11+I11+J11+K11</f>
        <v>237.41296648091858</v>
      </c>
      <c r="C11" s="177"/>
      <c r="D11" s="115"/>
      <c r="E11" s="207">
        <f>TRDM!D18*25%</f>
        <v>67.51785714285714</v>
      </c>
      <c r="F11" s="207">
        <f>MANEJO!D16*15%</f>
        <v>29.149999999999995</v>
      </c>
      <c r="G11" s="207">
        <f>RCE!G16*10%</f>
        <v>16.345109338061466</v>
      </c>
      <c r="H11" s="207">
        <f>'AU'!D16*10%</f>
        <v>17.2</v>
      </c>
      <c r="I11" s="207">
        <f>'AU'!D16*10%</f>
        <v>17.2</v>
      </c>
      <c r="J11" s="207">
        <f>TRMCIAS!I9*5%</f>
        <v>15</v>
      </c>
      <c r="K11" s="207">
        <f>RCSP!F53*25%</f>
        <v>75</v>
      </c>
    </row>
    <row r="12" spans="1:11" ht="29.25">
      <c r="A12" s="183" t="s">
        <v>189</v>
      </c>
      <c r="B12" s="178" t="s">
        <v>463</v>
      </c>
      <c r="C12" s="176">
        <v>100</v>
      </c>
      <c r="D12" s="115"/>
      <c r="E12" s="207"/>
      <c r="F12" s="207"/>
      <c r="G12" s="207"/>
      <c r="H12" s="207"/>
      <c r="I12" s="207"/>
      <c r="J12" s="207"/>
      <c r="K12" s="207"/>
    </row>
    <row r="13" spans="1:11" ht="15.75">
      <c r="A13" s="338" t="s">
        <v>174</v>
      </c>
      <c r="B13" s="339"/>
      <c r="C13" s="167">
        <f>SUM(C7:C12)</f>
        <v>864.6695006726558</v>
      </c>
      <c r="D13" s="114"/>
      <c r="E13" s="167">
        <f aca="true" t="shared" si="0" ref="E13:K13">SUM(E7:E12)</f>
        <v>211.12887124270972</v>
      </c>
      <c r="F13" s="167">
        <f t="shared" si="0"/>
        <v>116.22479964381121</v>
      </c>
      <c r="G13" s="167">
        <f t="shared" si="0"/>
        <v>71.3914915273008</v>
      </c>
      <c r="H13" s="167">
        <f t="shared" si="0"/>
        <v>54.134499749517204</v>
      </c>
      <c r="I13" s="167">
        <f t="shared" si="0"/>
        <v>50.0934099378882</v>
      </c>
      <c r="J13" s="167">
        <f t="shared" si="0"/>
        <v>44.0625</v>
      </c>
      <c r="K13" s="167">
        <f t="shared" si="0"/>
        <v>217.63392857142858</v>
      </c>
    </row>
    <row r="15" spans="1:11" ht="31.5" customHeight="1">
      <c r="A15" s="110" t="s">
        <v>182</v>
      </c>
      <c r="B15" s="111" t="s">
        <v>183</v>
      </c>
      <c r="C15" s="112" t="s">
        <v>184</v>
      </c>
      <c r="D15" s="113"/>
      <c r="E15" s="334" t="s">
        <v>462</v>
      </c>
      <c r="F15" s="334"/>
      <c r="G15" s="334"/>
      <c r="H15" s="334"/>
      <c r="I15" s="334"/>
      <c r="J15" s="334"/>
      <c r="K15" s="334"/>
    </row>
    <row r="16" spans="1:11" ht="68.25" customHeight="1">
      <c r="A16" s="179" t="s">
        <v>185</v>
      </c>
      <c r="B16" s="175"/>
      <c r="C16" s="176">
        <f>+B17+B18</f>
        <v>489.65777909509967</v>
      </c>
      <c r="D16" s="114"/>
      <c r="E16" s="166" t="s">
        <v>193</v>
      </c>
      <c r="F16" s="166" t="s">
        <v>307</v>
      </c>
      <c r="G16" s="166" t="s">
        <v>194</v>
      </c>
      <c r="H16" s="166" t="s">
        <v>195</v>
      </c>
      <c r="I16" s="166" t="s">
        <v>204</v>
      </c>
      <c r="J16" s="166" t="s">
        <v>309</v>
      </c>
      <c r="K16" s="166" t="s">
        <v>308</v>
      </c>
    </row>
    <row r="17" spans="1:11" ht="15">
      <c r="A17" s="180" t="s">
        <v>207</v>
      </c>
      <c r="B17" s="177">
        <f>E17+F17+G17+H17+I17+J17+K17</f>
        <v>322.65777909509967</v>
      </c>
      <c r="C17" s="177"/>
      <c r="D17" s="115"/>
      <c r="E17" s="207">
        <f>'Económica Prima'!E19*25%</f>
        <v>72.24204991855683</v>
      </c>
      <c r="F17" s="207">
        <f>'Económica Prima'!E21*15%</f>
        <v>41.59259259259259</v>
      </c>
      <c r="G17" s="207">
        <f>'Económica Prima'!E20*10%</f>
        <v>19.25</v>
      </c>
      <c r="H17" s="207">
        <f>'Económica Prima'!E22*10%</f>
        <v>44.343219746513014</v>
      </c>
      <c r="I17" s="207">
        <f>'Económica Prima'!E24*10%</f>
        <v>27.436489607390303</v>
      </c>
      <c r="J17" s="207">
        <f>'Económica Prima'!E23*5%</f>
        <v>13.333333333333336</v>
      </c>
      <c r="K17" s="207">
        <f>'Económica Prima'!E25*25%</f>
        <v>104.46009389671362</v>
      </c>
    </row>
    <row r="18" spans="1:11" ht="15">
      <c r="A18" s="180" t="s">
        <v>186</v>
      </c>
      <c r="B18" s="177">
        <f>E18+F18+G18+H18+I18+J18+K18</f>
        <v>167</v>
      </c>
      <c r="C18" s="177"/>
      <c r="D18" s="115"/>
      <c r="E18" s="207">
        <f>Deducibles!F116*25%</f>
        <v>70</v>
      </c>
      <c r="F18" s="207">
        <f>Deducibles!F203*15%</f>
        <v>45</v>
      </c>
      <c r="G18" s="207">
        <f>Deducibles!F159*10%</f>
        <v>30</v>
      </c>
      <c r="H18" s="207"/>
      <c r="I18" s="207">
        <f>Deducibles!F264*10%</f>
        <v>7</v>
      </c>
      <c r="J18" s="207">
        <f>Deducibles!F245*5%</f>
        <v>15</v>
      </c>
      <c r="K18" s="207"/>
    </row>
    <row r="19" spans="1:11" ht="15">
      <c r="A19" s="181" t="s">
        <v>187</v>
      </c>
      <c r="B19" s="176"/>
      <c r="C19" s="176">
        <f>B20</f>
        <v>187.92641506894302</v>
      </c>
      <c r="D19" s="114"/>
      <c r="E19" s="207"/>
      <c r="F19" s="207"/>
      <c r="G19" s="207"/>
      <c r="H19" s="207"/>
      <c r="I19" s="207"/>
      <c r="J19" s="207"/>
      <c r="K19" s="207"/>
    </row>
    <row r="20" spans="1:11" ht="29.25">
      <c r="A20" s="182" t="s">
        <v>188</v>
      </c>
      <c r="B20" s="177">
        <f>E20+F20+G20+H20+I20+J20+K20</f>
        <v>187.92641506894302</v>
      </c>
      <c r="C20" s="177"/>
      <c r="D20" s="115"/>
      <c r="E20" s="207">
        <f>TRDM!F18*25%</f>
        <v>48.50975028850874</v>
      </c>
      <c r="F20" s="207">
        <f>MANEJO!F16*15%</f>
        <v>28.95</v>
      </c>
      <c r="G20" s="207">
        <f>RCE!I16*10%</f>
        <v>7.5000458037825055</v>
      </c>
      <c r="H20" s="207">
        <f>'AU'!F16*10%</f>
        <v>21.559515151515154</v>
      </c>
      <c r="I20" s="207">
        <f>IRF!F35*10%</f>
        <v>24.657103825136616</v>
      </c>
      <c r="J20" s="207">
        <f>TRMCIAS!K9*5%</f>
        <v>3</v>
      </c>
      <c r="K20" s="207">
        <f>RCSP!H53*25%</f>
        <v>53.75</v>
      </c>
    </row>
    <row r="21" spans="1:11" ht="29.25">
      <c r="A21" s="183" t="s">
        <v>189</v>
      </c>
      <c r="B21" s="178" t="s">
        <v>461</v>
      </c>
      <c r="C21" s="176">
        <v>100</v>
      </c>
      <c r="D21" s="115"/>
      <c r="E21" s="207"/>
      <c r="F21" s="207"/>
      <c r="G21" s="207"/>
      <c r="H21" s="207"/>
      <c r="I21" s="207"/>
      <c r="J21" s="207"/>
      <c r="K21" s="207"/>
    </row>
    <row r="22" spans="1:11" ht="15.75">
      <c r="A22" s="338" t="s">
        <v>174</v>
      </c>
      <c r="B22" s="339"/>
      <c r="C22" s="167">
        <f>SUM(C16:C21)</f>
        <v>777.5841941640426</v>
      </c>
      <c r="D22" s="114"/>
      <c r="E22" s="167">
        <f aca="true" t="shared" si="1" ref="E22:K22">SUM(E16:E21)</f>
        <v>190.75180020706557</v>
      </c>
      <c r="F22" s="167">
        <f t="shared" si="1"/>
        <v>115.54259259259258</v>
      </c>
      <c r="G22" s="167">
        <f t="shared" si="1"/>
        <v>56.750045803782506</v>
      </c>
      <c r="H22" s="167">
        <f t="shared" si="1"/>
        <v>65.90273489802817</v>
      </c>
      <c r="I22" s="167">
        <f t="shared" si="1"/>
        <v>59.093593432526916</v>
      </c>
      <c r="J22" s="167">
        <f t="shared" si="1"/>
        <v>31.333333333333336</v>
      </c>
      <c r="K22" s="167">
        <f t="shared" si="1"/>
        <v>158.2100938967136</v>
      </c>
    </row>
    <row r="24" spans="1:11" ht="46.5" customHeight="1">
      <c r="A24" s="110" t="s">
        <v>182</v>
      </c>
      <c r="B24" s="111" t="s">
        <v>183</v>
      </c>
      <c r="C24" s="112" t="s">
        <v>184</v>
      </c>
      <c r="D24" s="113"/>
      <c r="E24" s="334" t="s">
        <v>451</v>
      </c>
      <c r="F24" s="334"/>
      <c r="G24" s="334"/>
      <c r="H24" s="334"/>
      <c r="I24" s="334"/>
      <c r="J24" s="334"/>
      <c r="K24" s="334"/>
    </row>
    <row r="25" spans="1:11" ht="68.25" customHeight="1">
      <c r="A25" s="179" t="s">
        <v>185</v>
      </c>
      <c r="B25" s="175"/>
      <c r="C25" s="176">
        <f>+B26+B27</f>
        <v>507.4040039078293</v>
      </c>
      <c r="D25" s="114"/>
      <c r="E25" s="166" t="s">
        <v>193</v>
      </c>
      <c r="F25" s="166" t="s">
        <v>307</v>
      </c>
      <c r="G25" s="166" t="s">
        <v>194</v>
      </c>
      <c r="H25" s="166" t="s">
        <v>195</v>
      </c>
      <c r="I25" s="166" t="s">
        <v>204</v>
      </c>
      <c r="J25" s="166" t="s">
        <v>309</v>
      </c>
      <c r="K25" s="166" t="s">
        <v>308</v>
      </c>
    </row>
    <row r="26" spans="1:11" ht="15">
      <c r="A26" s="180" t="s">
        <v>207</v>
      </c>
      <c r="B26" s="177">
        <f>E26+F26+G26+H26+I26+J26+K26</f>
        <v>335.40500390782927</v>
      </c>
      <c r="C26" s="177"/>
      <c r="D26" s="115"/>
      <c r="E26" s="207">
        <f>'Económica Prima'!E30*25%</f>
        <v>73.52574688157819</v>
      </c>
      <c r="F26" s="207">
        <f>'Económica Prima'!E32*15%</f>
        <v>44.238646482635794</v>
      </c>
      <c r="G26" s="207">
        <f>'Económica Prima'!E31*10%</f>
        <v>18.200371057513916</v>
      </c>
      <c r="H26" s="207">
        <f>'Económica Prima'!E33*10%</f>
        <v>36.46593232674805</v>
      </c>
      <c r="I26" s="207">
        <f>'Económica Prima'!E35*10%</f>
        <v>29.09930715935335</v>
      </c>
      <c r="J26" s="207">
        <f>'Económica Prima'!E34*5%</f>
        <v>14.0625</v>
      </c>
      <c r="K26" s="207">
        <f>'Económica Prima'!E36*25%</f>
        <v>119.8125</v>
      </c>
    </row>
    <row r="27" spans="1:11" ht="15">
      <c r="A27" s="180" t="s">
        <v>186</v>
      </c>
      <c r="B27" s="177">
        <f>E27+F27+G27+H27+I27+J27+K27</f>
        <v>171.999</v>
      </c>
      <c r="C27" s="177"/>
      <c r="D27" s="115"/>
      <c r="E27" s="207">
        <f>Deducibles!H116*25%</f>
        <v>70</v>
      </c>
      <c r="F27" s="207">
        <f>Deducibles!H203*15%</f>
        <v>45</v>
      </c>
      <c r="G27" s="207">
        <f>Deducibles!H159*10%</f>
        <v>30</v>
      </c>
      <c r="H27" s="207"/>
      <c r="I27" s="207">
        <f>Deducibles!H264*10%</f>
        <v>11.999</v>
      </c>
      <c r="J27" s="207">
        <f>Deducibles!H245*5%</f>
        <v>15</v>
      </c>
      <c r="K27" s="207"/>
    </row>
    <row r="28" spans="1:11" ht="15">
      <c r="A28" s="181" t="s">
        <v>187</v>
      </c>
      <c r="B28" s="176"/>
      <c r="C28" s="176">
        <f>B29</f>
        <v>250.95338537363608</v>
      </c>
      <c r="D28" s="114"/>
      <c r="E28" s="207"/>
      <c r="F28" s="207"/>
      <c r="G28" s="207"/>
      <c r="H28" s="207"/>
      <c r="I28" s="207"/>
      <c r="J28" s="207"/>
      <c r="K28" s="207"/>
    </row>
    <row r="29" spans="1:11" ht="29.25">
      <c r="A29" s="182" t="s">
        <v>188</v>
      </c>
      <c r="B29" s="177">
        <f>E29+F29+G29+H29+I29+J29+K29</f>
        <v>250.95338537363608</v>
      </c>
      <c r="C29" s="177"/>
      <c r="D29" s="115"/>
      <c r="E29" s="207">
        <f>TRDM!H18*25%</f>
        <v>66.91503134151155</v>
      </c>
      <c r="F29" s="207">
        <f>MANEJO!H16*15%</f>
        <v>31.5</v>
      </c>
      <c r="G29" s="207">
        <f>RCE!K16*10%</f>
        <v>22.444444444444446</v>
      </c>
      <c r="H29" s="207">
        <f>'AU'!H16*10%</f>
        <v>23.2769696969697</v>
      </c>
      <c r="I29" s="207">
        <f>IRF!H35*10%</f>
        <v>22.73360655737705</v>
      </c>
      <c r="J29" s="207">
        <f>TRMCIAS!M9*5%</f>
        <v>12.833333333333336</v>
      </c>
      <c r="K29" s="207">
        <f>RCSP!J53*25%</f>
        <v>71.25</v>
      </c>
    </row>
    <row r="30" spans="1:11" ht="29.25">
      <c r="A30" s="183" t="s">
        <v>189</v>
      </c>
      <c r="B30" s="178" t="s">
        <v>450</v>
      </c>
      <c r="C30" s="176">
        <v>100</v>
      </c>
      <c r="D30" s="115"/>
      <c r="E30" s="207"/>
      <c r="F30" s="207"/>
      <c r="G30" s="207"/>
      <c r="H30" s="207"/>
      <c r="I30" s="207"/>
      <c r="J30" s="207"/>
      <c r="K30" s="207"/>
    </row>
    <row r="31" spans="1:11" ht="15.75">
      <c r="A31" s="338" t="s">
        <v>174</v>
      </c>
      <c r="B31" s="339"/>
      <c r="C31" s="167">
        <f>SUM(C25:C30)</f>
        <v>858.3573892814654</v>
      </c>
      <c r="D31" s="114"/>
      <c r="E31" s="167">
        <f aca="true" t="shared" si="2" ref="E31:K31">SUM(E25:E30)</f>
        <v>210.44077822308975</v>
      </c>
      <c r="F31" s="167">
        <f t="shared" si="2"/>
        <v>120.7386464826358</v>
      </c>
      <c r="G31" s="167">
        <f t="shared" si="2"/>
        <v>70.64481550195836</v>
      </c>
      <c r="H31" s="167">
        <f t="shared" si="2"/>
        <v>59.742902023717754</v>
      </c>
      <c r="I31" s="167">
        <f t="shared" si="2"/>
        <v>63.831913716730405</v>
      </c>
      <c r="J31" s="167">
        <f t="shared" si="2"/>
        <v>41.895833333333336</v>
      </c>
      <c r="K31" s="167">
        <f t="shared" si="2"/>
        <v>191.0625</v>
      </c>
    </row>
    <row r="32" spans="1:11" s="210" customFormat="1" ht="15.75">
      <c r="A32" s="278"/>
      <c r="B32" s="278"/>
      <c r="C32" s="279"/>
      <c r="D32" s="280"/>
      <c r="E32" s="279"/>
      <c r="F32" s="279"/>
      <c r="G32" s="279"/>
      <c r="H32" s="279"/>
      <c r="I32" s="279"/>
      <c r="J32" s="279"/>
      <c r="K32" s="279"/>
    </row>
    <row r="33" spans="1:11" ht="20.25">
      <c r="A33" s="337" t="s">
        <v>190</v>
      </c>
      <c r="B33" s="337"/>
      <c r="C33" s="337"/>
      <c r="D33" s="337"/>
      <c r="E33" s="337"/>
      <c r="F33" s="118"/>
      <c r="G33" s="118"/>
      <c r="H33" s="118"/>
      <c r="I33" s="118"/>
      <c r="J33" s="118"/>
      <c r="K33" s="118"/>
    </row>
    <row r="35" spans="1:11" ht="45" customHeight="1">
      <c r="A35" s="110" t="s">
        <v>182</v>
      </c>
      <c r="B35" s="111" t="s">
        <v>183</v>
      </c>
      <c r="C35" s="112" t="s">
        <v>184</v>
      </c>
      <c r="D35" s="113"/>
      <c r="E35" s="116" t="s">
        <v>452</v>
      </c>
      <c r="F35" s="117"/>
      <c r="G35" s="117"/>
      <c r="H35" s="117"/>
      <c r="I35" s="117"/>
      <c r="J35" s="117"/>
      <c r="K35" s="117"/>
    </row>
    <row r="36" spans="1:5" ht="49.5" customHeight="1">
      <c r="A36" s="179" t="s">
        <v>185</v>
      </c>
      <c r="B36" s="175"/>
      <c r="C36" s="175">
        <f>B37</f>
        <v>667.0097786927432</v>
      </c>
      <c r="D36" s="114"/>
      <c r="E36" s="166" t="s">
        <v>192</v>
      </c>
    </row>
    <row r="37" spans="1:5" ht="15">
      <c r="A37" s="180" t="s">
        <v>191</v>
      </c>
      <c r="B37" s="184">
        <f>E37</f>
        <v>667.0097786927432</v>
      </c>
      <c r="C37" s="184"/>
      <c r="D37" s="115"/>
      <c r="E37" s="184">
        <f>'Económica Prima'!E42</f>
        <v>667.0097786927432</v>
      </c>
    </row>
    <row r="38" spans="1:5" ht="29.25">
      <c r="A38" s="183" t="s">
        <v>189</v>
      </c>
      <c r="B38" s="178" t="s">
        <v>450</v>
      </c>
      <c r="C38" s="176">
        <v>100</v>
      </c>
      <c r="D38" s="115"/>
      <c r="E38" s="184"/>
    </row>
    <row r="39" spans="1:5" ht="15.75">
      <c r="A39" s="335" t="s">
        <v>174</v>
      </c>
      <c r="B39" s="336"/>
      <c r="C39" s="185">
        <f>SUM(C36:C38)</f>
        <v>767.0097786927432</v>
      </c>
      <c r="D39" s="168"/>
      <c r="E39" s="167">
        <f>SUM(E37:E38)</f>
        <v>667.0097786927432</v>
      </c>
    </row>
    <row r="41" spans="1:11" ht="45" customHeight="1">
      <c r="A41" s="110" t="s">
        <v>182</v>
      </c>
      <c r="B41" s="111" t="s">
        <v>183</v>
      </c>
      <c r="C41" s="112" t="s">
        <v>184</v>
      </c>
      <c r="D41" s="113"/>
      <c r="E41" s="116" t="s">
        <v>444</v>
      </c>
      <c r="F41" s="117"/>
      <c r="G41" s="117"/>
      <c r="H41" s="117"/>
      <c r="I41" s="117"/>
      <c r="J41" s="117"/>
      <c r="K41" s="117"/>
    </row>
    <row r="42" spans="1:5" ht="49.5" customHeight="1">
      <c r="A42" s="179" t="s">
        <v>185</v>
      </c>
      <c r="B42" s="175"/>
      <c r="C42" s="175">
        <f>B43</f>
        <v>900</v>
      </c>
      <c r="D42" s="114"/>
      <c r="E42" s="166" t="s">
        <v>192</v>
      </c>
    </row>
    <row r="43" spans="1:5" ht="15">
      <c r="A43" s="180" t="s">
        <v>191</v>
      </c>
      <c r="B43" s="184">
        <f>E43</f>
        <v>900</v>
      </c>
      <c r="C43" s="184"/>
      <c r="D43" s="115"/>
      <c r="E43" s="184">
        <f>'Económica Prima'!E47</f>
        <v>900</v>
      </c>
    </row>
    <row r="44" spans="1:5" ht="29.25">
      <c r="A44" s="183" t="s">
        <v>189</v>
      </c>
      <c r="B44" s="178" t="s">
        <v>453</v>
      </c>
      <c r="C44" s="176">
        <v>100</v>
      </c>
      <c r="D44" s="115"/>
      <c r="E44" s="184"/>
    </row>
    <row r="45" spans="1:5" ht="15.75">
      <c r="A45" s="335" t="s">
        <v>174</v>
      </c>
      <c r="B45" s="336"/>
      <c r="C45" s="328">
        <f>SUM(C42:C44)</f>
        <v>1000</v>
      </c>
      <c r="D45" s="168"/>
      <c r="E45" s="167">
        <f>SUM(E43:E44)</f>
        <v>900</v>
      </c>
    </row>
    <row r="47" spans="1:11" ht="45" customHeight="1">
      <c r="A47" s="110" t="s">
        <v>182</v>
      </c>
      <c r="B47" s="111" t="s">
        <v>183</v>
      </c>
      <c r="C47" s="112" t="s">
        <v>184</v>
      </c>
      <c r="D47" s="113"/>
      <c r="E47" s="116" t="s">
        <v>445</v>
      </c>
      <c r="F47" s="117"/>
      <c r="G47" s="117"/>
      <c r="H47" s="117"/>
      <c r="I47" s="117"/>
      <c r="J47" s="117"/>
      <c r="K47" s="117"/>
    </row>
    <row r="48" spans="1:5" ht="49.5" customHeight="1">
      <c r="A48" s="179" t="s">
        <v>185</v>
      </c>
      <c r="B48" s="175"/>
      <c r="C48" s="175">
        <f>B49</f>
        <v>782.8450619148293</v>
      </c>
      <c r="D48" s="114"/>
      <c r="E48" s="166" t="s">
        <v>192</v>
      </c>
    </row>
    <row r="49" spans="1:5" ht="15">
      <c r="A49" s="180" t="s">
        <v>191</v>
      </c>
      <c r="B49" s="184">
        <f>E49</f>
        <v>782.8450619148293</v>
      </c>
      <c r="C49" s="184"/>
      <c r="D49" s="115"/>
      <c r="E49" s="184">
        <f>'Económica Prima'!E52</f>
        <v>782.8450619148293</v>
      </c>
    </row>
    <row r="50" spans="1:5" ht="29.25">
      <c r="A50" s="183" t="s">
        <v>189</v>
      </c>
      <c r="B50" s="178" t="s">
        <v>454</v>
      </c>
      <c r="C50" s="176">
        <v>100</v>
      </c>
      <c r="D50" s="115"/>
      <c r="E50" s="184"/>
    </row>
    <row r="51" spans="1:5" ht="15.75">
      <c r="A51" s="335" t="s">
        <v>174</v>
      </c>
      <c r="B51" s="336"/>
      <c r="C51" s="185">
        <f>SUM(C48:C50)</f>
        <v>882.8450619148293</v>
      </c>
      <c r="D51" s="168"/>
      <c r="E51" s="167">
        <f>SUM(E49:E50)</f>
        <v>782.8450619148293</v>
      </c>
    </row>
    <row r="53" spans="1:11" ht="45" customHeight="1">
      <c r="A53" s="110" t="s">
        <v>182</v>
      </c>
      <c r="B53" s="111" t="s">
        <v>183</v>
      </c>
      <c r="C53" s="112" t="s">
        <v>184</v>
      </c>
      <c r="D53" s="113"/>
      <c r="E53" s="116" t="s">
        <v>446</v>
      </c>
      <c r="F53" s="117"/>
      <c r="G53" s="117"/>
      <c r="H53" s="117"/>
      <c r="I53" s="117"/>
      <c r="J53" s="117"/>
      <c r="K53" s="117"/>
    </row>
    <row r="54" spans="1:5" ht="49.5" customHeight="1">
      <c r="A54" s="179" t="s">
        <v>185</v>
      </c>
      <c r="B54" s="175"/>
      <c r="C54" s="175">
        <f>B55</f>
        <v>648</v>
      </c>
      <c r="D54" s="114"/>
      <c r="E54" s="166" t="s">
        <v>192</v>
      </c>
    </row>
    <row r="55" spans="1:5" ht="15">
      <c r="A55" s="180" t="s">
        <v>191</v>
      </c>
      <c r="B55" s="184">
        <f>E55</f>
        <v>648</v>
      </c>
      <c r="C55" s="184"/>
      <c r="D55" s="115"/>
      <c r="E55" s="184">
        <f>'Económica Prima'!E57</f>
        <v>648</v>
      </c>
    </row>
    <row r="56" spans="1:5" ht="29.25">
      <c r="A56" s="183" t="s">
        <v>189</v>
      </c>
      <c r="B56" s="178" t="s">
        <v>455</v>
      </c>
      <c r="C56" s="176">
        <v>100</v>
      </c>
      <c r="D56" s="115"/>
      <c r="E56" s="184"/>
    </row>
    <row r="57" spans="1:5" ht="15.75">
      <c r="A57" s="335" t="s">
        <v>174</v>
      </c>
      <c r="B57" s="336"/>
      <c r="C57" s="185">
        <f>SUM(C54:C56)</f>
        <v>748</v>
      </c>
      <c r="D57" s="168"/>
      <c r="E57" s="167">
        <f>SUM(E55:E56)</f>
        <v>648</v>
      </c>
    </row>
    <row r="59" spans="1:11" ht="45" customHeight="1">
      <c r="A59" s="110" t="s">
        <v>182</v>
      </c>
      <c r="B59" s="111" t="s">
        <v>183</v>
      </c>
      <c r="C59" s="112" t="s">
        <v>184</v>
      </c>
      <c r="D59" s="113"/>
      <c r="E59" s="116" t="s">
        <v>447</v>
      </c>
      <c r="F59" s="117"/>
      <c r="G59" s="117"/>
      <c r="H59" s="117"/>
      <c r="I59" s="117"/>
      <c r="J59" s="117"/>
      <c r="K59" s="117"/>
    </row>
    <row r="60" spans="1:5" ht="49.5" customHeight="1">
      <c r="A60" s="179" t="s">
        <v>185</v>
      </c>
      <c r="B60" s="175"/>
      <c r="C60" s="175">
        <f>B61</f>
        <v>740.5714285714286</v>
      </c>
      <c r="D60" s="114"/>
      <c r="E60" s="166" t="s">
        <v>192</v>
      </c>
    </row>
    <row r="61" spans="1:5" ht="15">
      <c r="A61" s="180" t="s">
        <v>191</v>
      </c>
      <c r="B61" s="184">
        <f>E61</f>
        <v>740.5714285714286</v>
      </c>
      <c r="C61" s="184"/>
      <c r="D61" s="115"/>
      <c r="E61" s="184">
        <f>'Económica Prima'!E62</f>
        <v>740.5714285714286</v>
      </c>
    </row>
    <row r="62" spans="1:5" ht="29.25">
      <c r="A62" s="183" t="s">
        <v>189</v>
      </c>
      <c r="B62" s="178" t="s">
        <v>456</v>
      </c>
      <c r="C62" s="176">
        <v>100</v>
      </c>
      <c r="D62" s="115"/>
      <c r="E62" s="184"/>
    </row>
    <row r="63" spans="1:5" ht="15.75">
      <c r="A63" s="335" t="s">
        <v>174</v>
      </c>
      <c r="B63" s="336"/>
      <c r="C63" s="185">
        <f>SUM(C60:C62)</f>
        <v>840.5714285714286</v>
      </c>
      <c r="D63" s="168"/>
      <c r="E63" s="167">
        <f>SUM(E61:E62)</f>
        <v>740.5714285714286</v>
      </c>
    </row>
    <row r="65" spans="1:11" ht="45" customHeight="1">
      <c r="A65" s="110" t="s">
        <v>182</v>
      </c>
      <c r="B65" s="111" t="s">
        <v>183</v>
      </c>
      <c r="C65" s="112" t="s">
        <v>184</v>
      </c>
      <c r="D65" s="113"/>
      <c r="E65" s="116" t="s">
        <v>448</v>
      </c>
      <c r="F65" s="117"/>
      <c r="G65" s="117"/>
      <c r="H65" s="117"/>
      <c r="I65" s="117"/>
      <c r="J65" s="117"/>
      <c r="K65" s="117"/>
    </row>
    <row r="66" spans="1:5" ht="49.5" customHeight="1">
      <c r="A66" s="179" t="s">
        <v>185</v>
      </c>
      <c r="B66" s="175"/>
      <c r="C66" s="175">
        <f>B67</f>
        <v>743.5456110154905</v>
      </c>
      <c r="D66" s="114"/>
      <c r="E66" s="166" t="s">
        <v>192</v>
      </c>
    </row>
    <row r="67" spans="1:5" ht="15">
      <c r="A67" s="180" t="s">
        <v>191</v>
      </c>
      <c r="B67" s="184">
        <f>E67</f>
        <v>743.5456110154905</v>
      </c>
      <c r="C67" s="184"/>
      <c r="D67" s="115"/>
      <c r="E67" s="184">
        <f>'Económica Prima'!E67</f>
        <v>743.5456110154905</v>
      </c>
    </row>
    <row r="68" spans="1:5" ht="29.25">
      <c r="A68" s="183" t="s">
        <v>189</v>
      </c>
      <c r="B68" s="178" t="s">
        <v>457</v>
      </c>
      <c r="C68" s="176">
        <v>100</v>
      </c>
      <c r="D68" s="115"/>
      <c r="E68" s="184"/>
    </row>
    <row r="69" spans="1:5" ht="15.75">
      <c r="A69" s="335" t="s">
        <v>174</v>
      </c>
      <c r="B69" s="336"/>
      <c r="C69" s="185">
        <f>SUM(C66:C68)</f>
        <v>843.5456110154905</v>
      </c>
      <c r="D69" s="168"/>
      <c r="E69" s="167">
        <f>SUM(E67:E68)</f>
        <v>743.5456110154905</v>
      </c>
    </row>
    <row r="71" spans="1:11" ht="45" customHeight="1">
      <c r="A71" s="110" t="s">
        <v>182</v>
      </c>
      <c r="B71" s="111" t="s">
        <v>183</v>
      </c>
      <c r="C71" s="112" t="s">
        <v>184</v>
      </c>
      <c r="D71" s="113"/>
      <c r="E71" s="116" t="s">
        <v>449</v>
      </c>
      <c r="F71" s="117"/>
      <c r="G71" s="117"/>
      <c r="H71" s="117"/>
      <c r="I71" s="117"/>
      <c r="J71" s="117"/>
      <c r="K71" s="117"/>
    </row>
    <row r="72" spans="1:5" ht="49.5" customHeight="1">
      <c r="A72" s="179" t="s">
        <v>185</v>
      </c>
      <c r="B72" s="175"/>
      <c r="C72" s="175">
        <f>B73</f>
        <v>864</v>
      </c>
      <c r="D72" s="114"/>
      <c r="E72" s="166" t="s">
        <v>192</v>
      </c>
    </row>
    <row r="73" spans="1:5" ht="15">
      <c r="A73" s="180" t="s">
        <v>191</v>
      </c>
      <c r="B73" s="184">
        <f>E73</f>
        <v>864</v>
      </c>
      <c r="C73" s="184"/>
      <c r="D73" s="115"/>
      <c r="E73" s="184">
        <f>'Económica Prima'!E72</f>
        <v>864</v>
      </c>
    </row>
    <row r="74" spans="1:5" ht="29.25">
      <c r="A74" s="183" t="s">
        <v>189</v>
      </c>
      <c r="B74" s="178" t="s">
        <v>458</v>
      </c>
      <c r="C74" s="176">
        <v>100</v>
      </c>
      <c r="D74" s="115"/>
      <c r="E74" s="184"/>
    </row>
    <row r="75" spans="1:5" ht="15.75">
      <c r="A75" s="335" t="s">
        <v>174</v>
      </c>
      <c r="B75" s="336"/>
      <c r="C75" s="185">
        <f>SUM(C72:C74)</f>
        <v>964</v>
      </c>
      <c r="D75" s="168"/>
      <c r="E75" s="167">
        <f>SUM(E73:E74)</f>
        <v>864</v>
      </c>
    </row>
  </sheetData>
  <sheetProtection/>
  <mergeCells count="17">
    <mergeCell ref="A69:B69"/>
    <mergeCell ref="A75:B75"/>
    <mergeCell ref="A22:B22"/>
    <mergeCell ref="E24:K24"/>
    <mergeCell ref="A31:B31"/>
    <mergeCell ref="A1:K1"/>
    <mergeCell ref="A2:K2"/>
    <mergeCell ref="A4:K4"/>
    <mergeCell ref="E6:K6"/>
    <mergeCell ref="A13:B13"/>
    <mergeCell ref="E15:K15"/>
    <mergeCell ref="A51:B51"/>
    <mergeCell ref="A57:B57"/>
    <mergeCell ref="A63:B63"/>
    <mergeCell ref="A45:B45"/>
    <mergeCell ref="A39:B39"/>
    <mergeCell ref="A33:E3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73"/>
  <sheetViews>
    <sheetView zoomScalePageLayoutView="0" workbookViewId="0" topLeftCell="A6">
      <selection activeCell="G7" sqref="G7"/>
    </sheetView>
  </sheetViews>
  <sheetFormatPr defaultColWidth="11.421875" defaultRowHeight="15"/>
  <cols>
    <col min="1" max="1" width="59.28125" style="0" customWidth="1"/>
    <col min="3" max="3" width="27.7109375" style="0" customWidth="1"/>
    <col min="4" max="4" width="18.57421875" style="0" customWidth="1"/>
    <col min="5" max="5" width="13.00390625" style="0" bestFit="1" customWidth="1"/>
    <col min="6" max="6" width="9.8515625" style="0" customWidth="1"/>
    <col min="7" max="7" width="29.421875" style="0" customWidth="1"/>
  </cols>
  <sheetData>
    <row r="1" spans="1:9" s="86" customFormat="1" ht="34.5" customHeight="1">
      <c r="A1" s="345" t="s">
        <v>178</v>
      </c>
      <c r="B1" s="345"/>
      <c r="C1" s="345"/>
      <c r="D1" s="345"/>
      <c r="E1" s="345"/>
      <c r="F1" s="73"/>
      <c r="G1" s="73"/>
      <c r="H1" s="73"/>
      <c r="I1" s="73"/>
    </row>
    <row r="2" spans="1:5" s="86" customFormat="1" ht="18">
      <c r="A2" s="87"/>
      <c r="B2" s="87"/>
      <c r="C2" s="87"/>
      <c r="D2" s="87"/>
      <c r="E2" s="88"/>
    </row>
    <row r="3" spans="1:9" s="86" customFormat="1" ht="43.5" customHeight="1">
      <c r="A3" s="345" t="s">
        <v>312</v>
      </c>
      <c r="B3" s="345"/>
      <c r="C3" s="345"/>
      <c r="D3" s="345"/>
      <c r="E3" s="345"/>
      <c r="F3" s="73"/>
      <c r="G3" s="73"/>
      <c r="H3" s="73"/>
      <c r="I3" s="73"/>
    </row>
    <row r="4" spans="1:9" s="86" customFormat="1" ht="19.5" customHeight="1">
      <c r="A4" s="212"/>
      <c r="B4" s="212"/>
      <c r="C4" s="212"/>
      <c r="D4" s="212"/>
      <c r="E4" s="212"/>
      <c r="F4" s="73"/>
      <c r="G4" s="73"/>
      <c r="H4" s="73"/>
      <c r="I4" s="73"/>
    </row>
    <row r="5" spans="1:5" s="86" customFormat="1" ht="21" thickBot="1">
      <c r="A5" s="349" t="s">
        <v>166</v>
      </c>
      <c r="B5" s="349"/>
      <c r="C5" s="349"/>
      <c r="D5" s="349"/>
      <c r="E5" s="349"/>
    </row>
    <row r="6" spans="1:6" s="90" customFormat="1" ht="50.25" customHeight="1">
      <c r="A6" s="89" t="s">
        <v>167</v>
      </c>
      <c r="B6" s="342" t="s">
        <v>330</v>
      </c>
      <c r="C6" s="343"/>
      <c r="D6" s="343"/>
      <c r="E6" s="344"/>
      <c r="F6" s="311"/>
    </row>
    <row r="7" spans="1:6" s="86" customFormat="1" ht="12.75">
      <c r="A7" s="91" t="s">
        <v>168</v>
      </c>
      <c r="B7" s="92" t="s">
        <v>169</v>
      </c>
      <c r="C7" s="161" t="s">
        <v>311</v>
      </c>
      <c r="D7" s="93" t="s">
        <v>201</v>
      </c>
      <c r="E7" s="94" t="s">
        <v>170</v>
      </c>
      <c r="F7" s="312"/>
    </row>
    <row r="8" spans="1:6" s="86" customFormat="1" ht="14.25">
      <c r="A8" s="155" t="s">
        <v>205</v>
      </c>
      <c r="B8" s="197" t="s">
        <v>380</v>
      </c>
      <c r="C8" s="198">
        <v>776657361</v>
      </c>
      <c r="D8" s="199">
        <v>365</v>
      </c>
      <c r="E8" s="200">
        <f>300*C8/G19</f>
        <v>294.4440563994103</v>
      </c>
      <c r="F8" s="312"/>
    </row>
    <row r="9" spans="1:6" s="86" customFormat="1" ht="14.25">
      <c r="A9" s="155" t="s">
        <v>171</v>
      </c>
      <c r="B9" s="201" t="s">
        <v>381</v>
      </c>
      <c r="C9" s="198">
        <v>35700000</v>
      </c>
      <c r="D9" s="199">
        <v>365</v>
      </c>
      <c r="E9" s="200">
        <f>300*C9/G20</f>
        <v>250.46382189239333</v>
      </c>
      <c r="F9" s="312"/>
    </row>
    <row r="10" spans="1:6" s="86" customFormat="1" ht="14.25">
      <c r="A10" s="155" t="s">
        <v>172</v>
      </c>
      <c r="B10" s="201" t="s">
        <v>381</v>
      </c>
      <c r="C10" s="198">
        <v>41650000</v>
      </c>
      <c r="D10" s="199">
        <v>365</v>
      </c>
      <c r="E10" s="200">
        <f>300*C10/G21</f>
        <v>280.4986642920748</v>
      </c>
      <c r="F10" s="312"/>
    </row>
    <row r="11" spans="1:7" s="86" customFormat="1" ht="14.25">
      <c r="A11" s="155" t="s">
        <v>173</v>
      </c>
      <c r="B11" s="201">
        <v>0.04</v>
      </c>
      <c r="C11" s="198">
        <v>12840720</v>
      </c>
      <c r="D11" s="199">
        <v>365</v>
      </c>
      <c r="E11" s="200">
        <f>600*C11/G22</f>
        <v>369.3449974951721</v>
      </c>
      <c r="F11" s="312"/>
      <c r="G11" s="205"/>
    </row>
    <row r="12" spans="1:6" s="86" customFormat="1" ht="14.25">
      <c r="A12" s="155" t="s">
        <v>313</v>
      </c>
      <c r="B12" s="202">
        <v>0.001</v>
      </c>
      <c r="C12" s="198">
        <v>35700000</v>
      </c>
      <c r="D12" s="199">
        <v>365</v>
      </c>
      <c r="E12" s="200">
        <f>300*C12/G23</f>
        <v>281.25</v>
      </c>
      <c r="F12" s="312"/>
    </row>
    <row r="13" spans="1:6" s="86" customFormat="1" ht="14.25">
      <c r="A13" s="155" t="s">
        <v>176</v>
      </c>
      <c r="B13" s="201" t="s">
        <v>381</v>
      </c>
      <c r="C13" s="198">
        <v>191590000</v>
      </c>
      <c r="D13" s="199">
        <v>365</v>
      </c>
      <c r="E13" s="200">
        <f>300*G24/C13</f>
        <v>268.944099378882</v>
      </c>
      <c r="F13" s="312"/>
    </row>
    <row r="14" spans="1:6" s="86" customFormat="1" ht="14.25">
      <c r="A14" s="156" t="s">
        <v>177</v>
      </c>
      <c r="B14" s="201" t="s">
        <v>381</v>
      </c>
      <c r="C14" s="203">
        <v>399840000</v>
      </c>
      <c r="D14" s="199">
        <v>365</v>
      </c>
      <c r="E14" s="204">
        <f>600*G25/C14</f>
        <v>570.5357142857143</v>
      </c>
      <c r="F14" s="312"/>
    </row>
    <row r="15" spans="1:6" s="99" customFormat="1" ht="16.5" thickBot="1">
      <c r="A15" s="95" t="s">
        <v>174</v>
      </c>
      <c r="B15" s="96"/>
      <c r="C15" s="97">
        <f>SUM(C8:C14)</f>
        <v>1493978081</v>
      </c>
      <c r="D15" s="97"/>
      <c r="E15" s="98"/>
      <c r="F15" s="313"/>
    </row>
    <row r="16" ht="15.75" thickBot="1"/>
    <row r="17" spans="1:7" s="90" customFormat="1" ht="50.25" customHeight="1">
      <c r="A17" s="89" t="s">
        <v>167</v>
      </c>
      <c r="B17" s="342" t="s">
        <v>331</v>
      </c>
      <c r="C17" s="343"/>
      <c r="D17" s="343"/>
      <c r="E17" s="344"/>
      <c r="F17" s="319" t="s">
        <v>167</v>
      </c>
      <c r="G17" s="314" t="s">
        <v>317</v>
      </c>
    </row>
    <row r="18" spans="1:7" s="86" customFormat="1" ht="12.75">
      <c r="A18" s="91" t="s">
        <v>168</v>
      </c>
      <c r="B18" s="92" t="s">
        <v>169</v>
      </c>
      <c r="C18" s="161" t="s">
        <v>311</v>
      </c>
      <c r="D18" s="93" t="s">
        <v>201</v>
      </c>
      <c r="E18" s="94" t="s">
        <v>170</v>
      </c>
      <c r="F18" s="315"/>
      <c r="G18" s="309"/>
    </row>
    <row r="19" spans="1:7" s="86" customFormat="1" ht="14.25">
      <c r="A19" s="155" t="s">
        <v>205</v>
      </c>
      <c r="B19" s="197" t="s">
        <v>418</v>
      </c>
      <c r="C19" s="198">
        <v>821521867</v>
      </c>
      <c r="D19" s="199">
        <v>365</v>
      </c>
      <c r="E19" s="200">
        <f>300*G19/C19</f>
        <v>288.9681996742273</v>
      </c>
      <c r="F19" s="317" t="s">
        <v>318</v>
      </c>
      <c r="G19" s="318">
        <f aca="true" t="shared" si="0" ref="G19:G25">(C8+C19+C30)/3</f>
        <v>791312316.3333334</v>
      </c>
    </row>
    <row r="20" spans="1:7" s="86" customFormat="1" ht="14.25">
      <c r="A20" s="155" t="s">
        <v>171</v>
      </c>
      <c r="B20" s="202">
        <v>0.007</v>
      </c>
      <c r="C20" s="198">
        <v>66640000</v>
      </c>
      <c r="D20" s="199">
        <v>365</v>
      </c>
      <c r="E20" s="200">
        <f>300*G20/C20</f>
        <v>192.5</v>
      </c>
      <c r="F20" s="317" t="s">
        <v>319</v>
      </c>
      <c r="G20" s="318">
        <f t="shared" si="0"/>
        <v>42760666.666666664</v>
      </c>
    </row>
    <row r="21" spans="1:7" s="86" customFormat="1" ht="14.25">
      <c r="A21" s="155" t="s">
        <v>172</v>
      </c>
      <c r="B21" s="202">
        <v>0.054</v>
      </c>
      <c r="C21" s="198">
        <v>48195000</v>
      </c>
      <c r="D21" s="199">
        <v>365</v>
      </c>
      <c r="E21" s="200">
        <f>300*G21/C21</f>
        <v>277.28395061728395</v>
      </c>
      <c r="F21" s="317" t="s">
        <v>320</v>
      </c>
      <c r="G21" s="318">
        <f t="shared" si="0"/>
        <v>44545666.666666664</v>
      </c>
    </row>
    <row r="22" spans="1:7" s="86" customFormat="1" ht="14.25">
      <c r="A22" s="155" t="s">
        <v>173</v>
      </c>
      <c r="B22" s="201">
        <v>0.05</v>
      </c>
      <c r="C22" s="198">
        <v>15416450</v>
      </c>
      <c r="D22" s="199">
        <v>365</v>
      </c>
      <c r="E22" s="200">
        <f>600*C22/G22</f>
        <v>443.4321974651301</v>
      </c>
      <c r="F22" s="317" t="s">
        <v>321</v>
      </c>
      <c r="G22" s="318">
        <f t="shared" si="0"/>
        <v>20859716.666666668</v>
      </c>
    </row>
    <row r="23" spans="1:7" s="86" customFormat="1" ht="14.25">
      <c r="A23" s="155" t="s">
        <v>313</v>
      </c>
      <c r="B23" s="202">
        <v>0.0012</v>
      </c>
      <c r="C23" s="198">
        <v>42840000</v>
      </c>
      <c r="D23" s="199">
        <v>365</v>
      </c>
      <c r="E23" s="200">
        <f>300*G23/C23</f>
        <v>266.6666666666667</v>
      </c>
      <c r="F23" s="317" t="s">
        <v>322</v>
      </c>
      <c r="G23" s="318">
        <f t="shared" si="0"/>
        <v>38080000</v>
      </c>
    </row>
    <row r="24" spans="1:7" s="86" customFormat="1" ht="14.25">
      <c r="A24" s="155" t="s">
        <v>176</v>
      </c>
      <c r="B24" s="201">
        <v>0.022</v>
      </c>
      <c r="C24" s="198">
        <v>157080000</v>
      </c>
      <c r="D24" s="199">
        <v>365</v>
      </c>
      <c r="E24" s="200">
        <f>300*C24/G24</f>
        <v>274.364896073903</v>
      </c>
      <c r="F24" s="317" t="s">
        <v>323</v>
      </c>
      <c r="G24" s="318">
        <f t="shared" si="0"/>
        <v>171756666.66666666</v>
      </c>
    </row>
    <row r="25" spans="1:7" s="86" customFormat="1" ht="14.25">
      <c r="A25" s="156" t="s">
        <v>177</v>
      </c>
      <c r="B25" s="201">
        <v>0.089</v>
      </c>
      <c r="C25" s="203">
        <v>264775000</v>
      </c>
      <c r="D25" s="199">
        <v>365</v>
      </c>
      <c r="E25" s="204">
        <f>600*C25/G25</f>
        <v>417.84037558685446</v>
      </c>
      <c r="F25" s="317" t="s">
        <v>324</v>
      </c>
      <c r="G25" s="318">
        <f t="shared" si="0"/>
        <v>380205000</v>
      </c>
    </row>
    <row r="26" spans="1:7" s="99" customFormat="1" ht="16.5" thickBot="1">
      <c r="A26" s="95" t="s">
        <v>174</v>
      </c>
      <c r="B26" s="96"/>
      <c r="C26" s="97">
        <f>SUM(C19:C25)</f>
        <v>1416468317</v>
      </c>
      <c r="D26" s="97"/>
      <c r="E26" s="98"/>
      <c r="F26" s="316"/>
      <c r="G26" s="310"/>
    </row>
    <row r="27" ht="15.75" thickBot="1">
      <c r="C27" s="100"/>
    </row>
    <row r="28" spans="1:5" s="90" customFormat="1" ht="50.25" customHeight="1">
      <c r="A28" s="89" t="s">
        <v>167</v>
      </c>
      <c r="B28" s="342" t="s">
        <v>451</v>
      </c>
      <c r="C28" s="343"/>
      <c r="D28" s="343"/>
      <c r="E28" s="344"/>
    </row>
    <row r="29" spans="1:5" s="86" customFormat="1" ht="12.75">
      <c r="A29" s="91" t="s">
        <v>168</v>
      </c>
      <c r="B29" s="92" t="s">
        <v>169</v>
      </c>
      <c r="C29" s="161" t="s">
        <v>311</v>
      </c>
      <c r="D29" s="93" t="s">
        <v>201</v>
      </c>
      <c r="E29" s="94" t="s">
        <v>170</v>
      </c>
    </row>
    <row r="30" spans="1:5" s="86" customFormat="1" ht="14.25">
      <c r="A30" s="155" t="s">
        <v>205</v>
      </c>
      <c r="B30" s="197" t="s">
        <v>442</v>
      </c>
      <c r="C30" s="198">
        <v>775757721</v>
      </c>
      <c r="D30" s="199">
        <v>365</v>
      </c>
      <c r="E30" s="200">
        <f>300*C30/G19</f>
        <v>294.10298752631275</v>
      </c>
    </row>
    <row r="31" spans="1:5" s="86" customFormat="1" ht="14.25">
      <c r="A31" s="155" t="s">
        <v>171</v>
      </c>
      <c r="B31" s="197" t="s">
        <v>443</v>
      </c>
      <c r="C31" s="198">
        <v>25942000</v>
      </c>
      <c r="D31" s="199">
        <v>365</v>
      </c>
      <c r="E31" s="200">
        <f>300*C31/G20</f>
        <v>182.00371057513917</v>
      </c>
    </row>
    <row r="32" spans="1:5" s="86" customFormat="1" ht="14.25">
      <c r="A32" s="155" t="s">
        <v>172</v>
      </c>
      <c r="B32" s="325">
        <v>0.049066</v>
      </c>
      <c r="C32" s="198">
        <v>43792000</v>
      </c>
      <c r="D32" s="199">
        <v>365</v>
      </c>
      <c r="E32" s="200">
        <f>300*C32/G21</f>
        <v>294.92430988423865</v>
      </c>
    </row>
    <row r="33" spans="1:7" s="86" customFormat="1" ht="14.25">
      <c r="A33" s="155" t="s">
        <v>173</v>
      </c>
      <c r="B33" s="201">
        <v>0.11</v>
      </c>
      <c r="C33" s="198">
        <v>34321980</v>
      </c>
      <c r="D33" s="199">
        <v>365</v>
      </c>
      <c r="E33" s="200">
        <f>600*G22/C33</f>
        <v>364.6593232674805</v>
      </c>
      <c r="G33" s="205"/>
    </row>
    <row r="34" spans="1:5" s="86" customFormat="1" ht="14.25">
      <c r="A34" s="155" t="s">
        <v>313</v>
      </c>
      <c r="B34" s="202">
        <v>0.001</v>
      </c>
      <c r="C34" s="198">
        <v>35700000</v>
      </c>
      <c r="D34" s="199">
        <v>365</v>
      </c>
      <c r="E34" s="200">
        <f>300*C34/G23</f>
        <v>281.25</v>
      </c>
    </row>
    <row r="35" spans="1:5" s="86" customFormat="1" ht="14.25">
      <c r="A35" s="155" t="s">
        <v>176</v>
      </c>
      <c r="B35" s="325">
        <v>0.023333</v>
      </c>
      <c r="C35" s="198">
        <v>166600000</v>
      </c>
      <c r="D35" s="199">
        <v>365</v>
      </c>
      <c r="E35" s="200">
        <f>300*C35/G24</f>
        <v>290.9930715935335</v>
      </c>
    </row>
    <row r="36" spans="1:5" s="86" customFormat="1" ht="14.25">
      <c r="A36" s="156" t="s">
        <v>177</v>
      </c>
      <c r="B36" s="201">
        <v>0.16</v>
      </c>
      <c r="C36" s="203">
        <v>476000000</v>
      </c>
      <c r="D36" s="199">
        <v>365</v>
      </c>
      <c r="E36" s="204">
        <f>600*G25/C36</f>
        <v>479.25</v>
      </c>
    </row>
    <row r="37" spans="1:5" s="99" customFormat="1" ht="16.5" thickBot="1">
      <c r="A37" s="95" t="s">
        <v>174</v>
      </c>
      <c r="B37" s="96"/>
      <c r="C37" s="97">
        <f>SUM(C30:C36)</f>
        <v>1558113701</v>
      </c>
      <c r="D37" s="97"/>
      <c r="E37" s="98"/>
    </row>
    <row r="38" spans="1:5" s="284" customFormat="1" ht="16.5" thickBot="1">
      <c r="A38" s="281"/>
      <c r="B38" s="281"/>
      <c r="C38" s="282"/>
      <c r="D38" s="282"/>
      <c r="E38" s="283"/>
    </row>
    <row r="39" spans="1:5" ht="21" thickBot="1">
      <c r="A39" s="350" t="s">
        <v>175</v>
      </c>
      <c r="B39" s="351"/>
      <c r="C39" s="351"/>
      <c r="D39" s="351"/>
      <c r="E39" s="352"/>
    </row>
    <row r="40" spans="1:5" s="101" customFormat="1" ht="45" customHeight="1">
      <c r="A40" s="238" t="s">
        <v>167</v>
      </c>
      <c r="B40" s="342" t="s">
        <v>451</v>
      </c>
      <c r="C40" s="343"/>
      <c r="D40" s="343"/>
      <c r="E40" s="344"/>
    </row>
    <row r="41" spans="1:5" s="86" customFormat="1" ht="27" customHeight="1">
      <c r="A41" s="164" t="s">
        <v>168</v>
      </c>
      <c r="B41" s="165" t="s">
        <v>169</v>
      </c>
      <c r="C41" s="161" t="s">
        <v>206</v>
      </c>
      <c r="D41" s="162" t="s">
        <v>315</v>
      </c>
      <c r="E41" s="163" t="s">
        <v>170</v>
      </c>
    </row>
    <row r="42" spans="1:5" s="86" customFormat="1" ht="18.75" customHeight="1">
      <c r="A42" s="236" t="s">
        <v>179</v>
      </c>
      <c r="B42" s="157" t="s">
        <v>314</v>
      </c>
      <c r="C42" s="158">
        <v>7772</v>
      </c>
      <c r="D42" s="159">
        <v>222</v>
      </c>
      <c r="E42" s="160">
        <f>900*C47/C42</f>
        <v>667.0097786927432</v>
      </c>
    </row>
    <row r="43" spans="1:5" s="99" customFormat="1" ht="18" customHeight="1" thickBot="1">
      <c r="A43" s="95" t="s">
        <v>174</v>
      </c>
      <c r="B43" s="96"/>
      <c r="C43" s="97">
        <f>SUM(C41:C42)</f>
        <v>7772</v>
      </c>
      <c r="D43" s="102"/>
      <c r="E43" s="98"/>
    </row>
    <row r="44" spans="1:5" s="276" customFormat="1" ht="18" customHeight="1" thickBot="1">
      <c r="A44" s="272"/>
      <c r="B44" s="272"/>
      <c r="C44" s="273"/>
      <c r="D44" s="274"/>
      <c r="E44" s="275"/>
    </row>
    <row r="45" spans="1:5" s="101" customFormat="1" ht="45" customHeight="1">
      <c r="A45" s="238" t="s">
        <v>167</v>
      </c>
      <c r="B45" s="346" t="s">
        <v>444</v>
      </c>
      <c r="C45" s="347"/>
      <c r="D45" s="347"/>
      <c r="E45" s="348"/>
    </row>
    <row r="46" spans="1:5" s="86" customFormat="1" ht="27" customHeight="1">
      <c r="A46" s="164" t="s">
        <v>168</v>
      </c>
      <c r="B46" s="165" t="s">
        <v>169</v>
      </c>
      <c r="C46" s="161" t="s">
        <v>206</v>
      </c>
      <c r="D46" s="162" t="s">
        <v>315</v>
      </c>
      <c r="E46" s="163" t="s">
        <v>170</v>
      </c>
    </row>
    <row r="47" spans="1:5" s="86" customFormat="1" ht="18.75" customHeight="1">
      <c r="A47" s="236" t="s">
        <v>179</v>
      </c>
      <c r="B47" s="157" t="s">
        <v>314</v>
      </c>
      <c r="C47" s="158">
        <v>5760</v>
      </c>
      <c r="D47" s="159">
        <v>101</v>
      </c>
      <c r="E47" s="160">
        <v>900</v>
      </c>
    </row>
    <row r="48" spans="1:5" s="99" customFormat="1" ht="18" customHeight="1" thickBot="1">
      <c r="A48" s="95" t="s">
        <v>174</v>
      </c>
      <c r="B48" s="96"/>
      <c r="C48" s="97">
        <f>SUM(C46:C47)</f>
        <v>5760</v>
      </c>
      <c r="D48" s="102"/>
      <c r="E48" s="98"/>
    </row>
    <row r="49" ht="15.75" thickBot="1"/>
    <row r="50" spans="1:5" s="101" customFormat="1" ht="45" customHeight="1">
      <c r="A50" s="238" t="s">
        <v>167</v>
      </c>
      <c r="B50" s="346" t="s">
        <v>445</v>
      </c>
      <c r="C50" s="347"/>
      <c r="D50" s="347"/>
      <c r="E50" s="348"/>
    </row>
    <row r="51" spans="1:5" s="86" customFormat="1" ht="27" customHeight="1">
      <c r="A51" s="164" t="s">
        <v>168</v>
      </c>
      <c r="B51" s="165" t="s">
        <v>169</v>
      </c>
      <c r="C51" s="161" t="s">
        <v>206</v>
      </c>
      <c r="D51" s="162" t="s">
        <v>315</v>
      </c>
      <c r="E51" s="163" t="s">
        <v>170</v>
      </c>
    </row>
    <row r="52" spans="1:5" s="86" customFormat="1" ht="18.75" customHeight="1">
      <c r="A52" s="236" t="s">
        <v>179</v>
      </c>
      <c r="B52" s="157" t="s">
        <v>314</v>
      </c>
      <c r="C52" s="237">
        <v>6622</v>
      </c>
      <c r="D52" s="159">
        <v>112</v>
      </c>
      <c r="E52" s="160">
        <f>900*C47/C52</f>
        <v>782.8450619148293</v>
      </c>
    </row>
    <row r="53" spans="1:5" s="99" customFormat="1" ht="18" customHeight="1" thickBot="1">
      <c r="A53" s="95" t="s">
        <v>174</v>
      </c>
      <c r="B53" s="96"/>
      <c r="C53" s="97">
        <f>SUM(C51:C52)</f>
        <v>6622</v>
      </c>
      <c r="D53" s="102"/>
      <c r="E53" s="98"/>
    </row>
    <row r="54" ht="15.75" thickBot="1"/>
    <row r="55" spans="1:5" s="101" customFormat="1" ht="45" customHeight="1">
      <c r="A55" s="238" t="s">
        <v>167</v>
      </c>
      <c r="B55" s="342" t="s">
        <v>446</v>
      </c>
      <c r="C55" s="343"/>
      <c r="D55" s="343"/>
      <c r="E55" s="344"/>
    </row>
    <row r="56" spans="1:5" s="86" customFormat="1" ht="27" customHeight="1">
      <c r="A56" s="164" t="s">
        <v>168</v>
      </c>
      <c r="B56" s="165" t="s">
        <v>169</v>
      </c>
      <c r="C56" s="161" t="s">
        <v>206</v>
      </c>
      <c r="D56" s="162" t="s">
        <v>315</v>
      </c>
      <c r="E56" s="163" t="s">
        <v>170</v>
      </c>
    </row>
    <row r="57" spans="1:5" s="86" customFormat="1" ht="18.75" customHeight="1">
      <c r="A57" s="236" t="s">
        <v>179</v>
      </c>
      <c r="B57" s="157" t="s">
        <v>314</v>
      </c>
      <c r="C57" s="158">
        <v>8000</v>
      </c>
      <c r="D57" s="159">
        <v>100</v>
      </c>
      <c r="E57" s="160">
        <f>900*C47/C57</f>
        <v>648</v>
      </c>
    </row>
    <row r="58" spans="1:5" s="99" customFormat="1" ht="18" customHeight="1" thickBot="1">
      <c r="A58" s="95" t="s">
        <v>174</v>
      </c>
      <c r="B58" s="96"/>
      <c r="C58" s="97">
        <f>SUM(C56:C57)</f>
        <v>8000</v>
      </c>
      <c r="D58" s="102"/>
      <c r="E58" s="98"/>
    </row>
    <row r="59" ht="15.75" thickBot="1"/>
    <row r="60" spans="1:5" s="101" customFormat="1" ht="45" customHeight="1">
      <c r="A60" s="238" t="s">
        <v>167</v>
      </c>
      <c r="B60" s="342" t="s">
        <v>447</v>
      </c>
      <c r="C60" s="343"/>
      <c r="D60" s="343"/>
      <c r="E60" s="344"/>
    </row>
    <row r="61" spans="1:5" s="86" customFormat="1" ht="27" customHeight="1">
      <c r="A61" s="164" t="s">
        <v>168</v>
      </c>
      <c r="B61" s="165" t="s">
        <v>169</v>
      </c>
      <c r="C61" s="161" t="s">
        <v>206</v>
      </c>
      <c r="D61" s="162" t="s">
        <v>315</v>
      </c>
      <c r="E61" s="163" t="s">
        <v>170</v>
      </c>
    </row>
    <row r="62" spans="1:5" s="86" customFormat="1" ht="18.75" customHeight="1">
      <c r="A62" s="236" t="s">
        <v>179</v>
      </c>
      <c r="B62" s="157" t="s">
        <v>314</v>
      </c>
      <c r="C62" s="158">
        <v>7000</v>
      </c>
      <c r="D62" s="159">
        <v>213</v>
      </c>
      <c r="E62" s="160">
        <f>900*C47/C62</f>
        <v>740.5714285714286</v>
      </c>
    </row>
    <row r="63" spans="1:5" s="99" customFormat="1" ht="18" customHeight="1" thickBot="1">
      <c r="A63" s="95" t="s">
        <v>174</v>
      </c>
      <c r="B63" s="96"/>
      <c r="C63" s="97">
        <f>SUM(C61:C62)</f>
        <v>7000</v>
      </c>
      <c r="D63" s="102"/>
      <c r="E63" s="98"/>
    </row>
    <row r="64" ht="15.75" thickBot="1"/>
    <row r="65" spans="1:5" s="101" customFormat="1" ht="45" customHeight="1">
      <c r="A65" s="238" t="s">
        <v>167</v>
      </c>
      <c r="B65" s="342" t="s">
        <v>448</v>
      </c>
      <c r="C65" s="343"/>
      <c r="D65" s="343"/>
      <c r="E65" s="344"/>
    </row>
    <row r="66" spans="1:5" s="86" customFormat="1" ht="27" customHeight="1">
      <c r="A66" s="164" t="s">
        <v>168</v>
      </c>
      <c r="B66" s="165" t="s">
        <v>169</v>
      </c>
      <c r="C66" s="161" t="s">
        <v>206</v>
      </c>
      <c r="D66" s="162" t="s">
        <v>315</v>
      </c>
      <c r="E66" s="163" t="s">
        <v>170</v>
      </c>
    </row>
    <row r="67" spans="1:5" s="86" customFormat="1" ht="18.75" customHeight="1">
      <c r="A67" s="236" t="s">
        <v>179</v>
      </c>
      <c r="B67" s="157" t="s">
        <v>314</v>
      </c>
      <c r="C67" s="326">
        <v>6.972</v>
      </c>
      <c r="D67" s="159">
        <v>155</v>
      </c>
      <c r="E67" s="160">
        <f>900*5.76/6.972</f>
        <v>743.5456110154905</v>
      </c>
    </row>
    <row r="68" spans="1:5" s="99" customFormat="1" ht="18" customHeight="1" thickBot="1">
      <c r="A68" s="95" t="s">
        <v>174</v>
      </c>
      <c r="B68" s="96"/>
      <c r="C68" s="327">
        <f>SUM(C66:C67)</f>
        <v>6.972</v>
      </c>
      <c r="D68" s="102"/>
      <c r="E68" s="98"/>
    </row>
    <row r="69" ht="15.75" thickBot="1"/>
    <row r="70" spans="1:5" s="101" customFormat="1" ht="45" customHeight="1">
      <c r="A70" s="238" t="s">
        <v>167</v>
      </c>
      <c r="B70" s="342" t="s">
        <v>449</v>
      </c>
      <c r="C70" s="343"/>
      <c r="D70" s="343"/>
      <c r="E70" s="344"/>
    </row>
    <row r="71" spans="1:5" s="86" customFormat="1" ht="27" customHeight="1">
      <c r="A71" s="164" t="s">
        <v>168</v>
      </c>
      <c r="B71" s="165" t="s">
        <v>169</v>
      </c>
      <c r="C71" s="161" t="s">
        <v>206</v>
      </c>
      <c r="D71" s="162" t="s">
        <v>315</v>
      </c>
      <c r="E71" s="163" t="s">
        <v>170</v>
      </c>
    </row>
    <row r="72" spans="1:5" s="86" customFormat="1" ht="18.75" customHeight="1">
      <c r="A72" s="236" t="s">
        <v>179</v>
      </c>
      <c r="B72" s="157" t="s">
        <v>314</v>
      </c>
      <c r="C72" s="158">
        <v>6000</v>
      </c>
      <c r="D72" s="159">
        <v>127</v>
      </c>
      <c r="E72" s="160">
        <f>E47*C47/C72</f>
        <v>864</v>
      </c>
    </row>
    <row r="73" spans="1:5" s="99" customFormat="1" ht="18" customHeight="1" thickBot="1">
      <c r="A73" s="95" t="s">
        <v>174</v>
      </c>
      <c r="B73" s="96"/>
      <c r="C73" s="97">
        <f>SUM(C71:C72)</f>
        <v>6000</v>
      </c>
      <c r="D73" s="102"/>
      <c r="E73" s="98"/>
    </row>
  </sheetData>
  <sheetProtection/>
  <mergeCells count="14">
    <mergeCell ref="B28:E28"/>
    <mergeCell ref="B60:E60"/>
    <mergeCell ref="B50:E50"/>
    <mergeCell ref="B55:E55"/>
    <mergeCell ref="B70:E70"/>
    <mergeCell ref="A1:E1"/>
    <mergeCell ref="A3:E3"/>
    <mergeCell ref="B6:E6"/>
    <mergeCell ref="B45:E45"/>
    <mergeCell ref="A5:E5"/>
    <mergeCell ref="B65:E65"/>
    <mergeCell ref="A39:E39"/>
    <mergeCell ref="B40:E40"/>
    <mergeCell ref="B17:E17"/>
  </mergeCells>
  <printOptions horizontalCentered="1" verticalCentered="1"/>
  <pageMargins left="0.7086614173228347" right="0.7086614173228347" top="0.7480314960629921" bottom="0.7480314960629921" header="0.31496062992125984" footer="0.31496062992125984"/>
  <pageSetup orientation="portrait" scale="55" r:id="rId1"/>
</worksheet>
</file>

<file path=xl/worksheets/sheet4.xml><?xml version="1.0" encoding="utf-8"?>
<worksheet xmlns="http://schemas.openxmlformats.org/spreadsheetml/2006/main" xmlns:r="http://schemas.openxmlformats.org/officeDocument/2006/relationships">
  <dimension ref="A3:L276"/>
  <sheetViews>
    <sheetView zoomScale="64" zoomScaleNormal="64" zoomScalePageLayoutView="0" workbookViewId="0" topLeftCell="B2">
      <selection activeCell="J7" sqref="J7"/>
    </sheetView>
  </sheetViews>
  <sheetFormatPr defaultColWidth="11.421875" defaultRowHeight="15"/>
  <cols>
    <col min="1" max="1" width="70.57421875" style="0" customWidth="1"/>
    <col min="2" max="2" width="54.140625" style="0" customWidth="1"/>
    <col min="3" max="3" width="43.8515625" style="0" customWidth="1"/>
    <col min="4" max="4" width="13.28125" style="0" customWidth="1"/>
    <col min="5" max="5" width="43.8515625" style="0" customWidth="1"/>
    <col min="6" max="6" width="13.28125" style="0" customWidth="1"/>
    <col min="7" max="7" width="43.8515625" style="0" customWidth="1"/>
    <col min="8" max="8" width="13.28125" style="0" customWidth="1"/>
  </cols>
  <sheetData>
    <row r="3" spans="1:8" ht="52.5" customHeight="1">
      <c r="A3" s="355" t="s">
        <v>208</v>
      </c>
      <c r="B3" s="355"/>
      <c r="C3" s="355"/>
      <c r="D3" s="355"/>
      <c r="E3" s="355"/>
      <c r="F3" s="355"/>
      <c r="G3" s="355"/>
      <c r="H3" s="355"/>
    </row>
    <row r="6" spans="1:8" s="7" customFormat="1" ht="18">
      <c r="A6" s="380" t="s">
        <v>3</v>
      </c>
      <c r="B6" s="380"/>
      <c r="C6" s="373" t="s">
        <v>162</v>
      </c>
      <c r="D6" s="374"/>
      <c r="E6" s="374"/>
      <c r="F6" s="374"/>
      <c r="G6" s="374"/>
      <c r="H6" s="374"/>
    </row>
    <row r="7" spans="1:8" s="7" customFormat="1" ht="54">
      <c r="A7" s="381" t="s">
        <v>7</v>
      </c>
      <c r="B7" s="382"/>
      <c r="C7" s="130" t="s">
        <v>330</v>
      </c>
      <c r="D7" s="130" t="s">
        <v>2</v>
      </c>
      <c r="E7" s="130" t="s">
        <v>331</v>
      </c>
      <c r="F7" s="130" t="s">
        <v>2</v>
      </c>
      <c r="G7" s="130" t="s">
        <v>332</v>
      </c>
      <c r="H7" s="130" t="s">
        <v>2</v>
      </c>
    </row>
    <row r="8" spans="1:8" s="7" customFormat="1" ht="35.25" customHeight="1">
      <c r="A8" s="14" t="s">
        <v>25</v>
      </c>
      <c r="B8" s="15">
        <v>60</v>
      </c>
      <c r="C8" s="131"/>
      <c r="D8" s="131"/>
      <c r="E8" s="131"/>
      <c r="F8" s="131"/>
      <c r="G8" s="131"/>
      <c r="H8" s="131"/>
    </row>
    <row r="9" spans="1:8" s="7" customFormat="1" ht="15">
      <c r="A9" s="14" t="s">
        <v>26</v>
      </c>
      <c r="B9" s="15">
        <v>60</v>
      </c>
      <c r="C9" s="131"/>
      <c r="D9" s="131"/>
      <c r="E9" s="131"/>
      <c r="F9" s="131"/>
      <c r="G9" s="131"/>
      <c r="H9" s="131"/>
    </row>
    <row r="10" spans="1:8" s="7" customFormat="1" ht="15">
      <c r="A10" s="14" t="s">
        <v>27</v>
      </c>
      <c r="B10" s="15">
        <v>60</v>
      </c>
      <c r="C10" s="131"/>
      <c r="D10" s="131"/>
      <c r="E10" s="131"/>
      <c r="F10" s="131"/>
      <c r="G10" s="131"/>
      <c r="H10" s="131"/>
    </row>
    <row r="11" spans="1:8" s="7" customFormat="1" ht="15">
      <c r="A11" s="14" t="s">
        <v>28</v>
      </c>
      <c r="B11" s="15">
        <v>30</v>
      </c>
      <c r="C11" s="131"/>
      <c r="D11" s="131"/>
      <c r="E11" s="131"/>
      <c r="F11" s="131"/>
      <c r="G11" s="131"/>
      <c r="H11" s="131"/>
    </row>
    <row r="12" spans="1:8" s="7" customFormat="1" ht="15">
      <c r="A12" s="14" t="s">
        <v>29</v>
      </c>
      <c r="B12" s="15">
        <v>30</v>
      </c>
      <c r="C12" s="131"/>
      <c r="D12" s="131"/>
      <c r="E12" s="131"/>
      <c r="F12" s="131"/>
      <c r="G12" s="131"/>
      <c r="H12" s="131"/>
    </row>
    <row r="13" spans="1:8" s="7" customFormat="1" ht="15">
      <c r="A13" s="14" t="s">
        <v>30</v>
      </c>
      <c r="B13" s="15">
        <v>30</v>
      </c>
      <c r="C13" s="131"/>
      <c r="D13" s="131"/>
      <c r="E13" s="131"/>
      <c r="F13" s="131"/>
      <c r="G13" s="131"/>
      <c r="H13" s="131"/>
    </row>
    <row r="14" spans="1:8" s="7" customFormat="1" ht="15">
      <c r="A14" s="14" t="s">
        <v>31</v>
      </c>
      <c r="B14" s="15">
        <v>30</v>
      </c>
      <c r="C14" s="131"/>
      <c r="D14" s="131"/>
      <c r="E14" s="131"/>
      <c r="F14" s="131"/>
      <c r="G14" s="131"/>
      <c r="H14" s="131"/>
    </row>
    <row r="15" spans="1:8" s="7" customFormat="1" ht="15">
      <c r="A15" s="14" t="s">
        <v>24</v>
      </c>
      <c r="B15" s="16">
        <f>SUM(B8:B14)</f>
        <v>300</v>
      </c>
      <c r="C15" s="131"/>
      <c r="D15" s="131"/>
      <c r="E15" s="131"/>
      <c r="F15" s="131"/>
      <c r="G15" s="131"/>
      <c r="H15" s="131"/>
    </row>
    <row r="16" spans="1:8" s="7" customFormat="1" ht="50.25" customHeight="1">
      <c r="A16" s="380" t="s">
        <v>214</v>
      </c>
      <c r="B16" s="380"/>
      <c r="C16" s="72"/>
      <c r="D16" s="72"/>
      <c r="E16" s="72"/>
      <c r="F16" s="72"/>
      <c r="G16" s="72"/>
      <c r="H16" s="72"/>
    </row>
    <row r="17" spans="1:8" s="7" customFormat="1" ht="14.25" customHeight="1">
      <c r="A17" s="375" t="s">
        <v>215</v>
      </c>
      <c r="B17" s="376"/>
      <c r="C17" s="74"/>
      <c r="D17" s="74"/>
      <c r="E17" s="74"/>
      <c r="F17" s="74"/>
      <c r="G17" s="74"/>
      <c r="H17" s="74"/>
    </row>
    <row r="18" spans="1:8" s="7" customFormat="1" ht="15">
      <c r="A18" s="14" t="s">
        <v>8</v>
      </c>
      <c r="B18" s="17" t="s">
        <v>32</v>
      </c>
      <c r="C18" s="74"/>
      <c r="D18" s="74"/>
      <c r="E18" s="74"/>
      <c r="F18" s="74"/>
      <c r="G18" s="74"/>
      <c r="H18" s="74"/>
    </row>
    <row r="19" spans="1:8" s="7" customFormat="1" ht="14.25">
      <c r="A19" s="18" t="s">
        <v>9</v>
      </c>
      <c r="B19" s="15">
        <v>60</v>
      </c>
      <c r="C19" s="74"/>
      <c r="D19" s="74"/>
      <c r="E19" s="74"/>
      <c r="F19" s="74"/>
      <c r="G19" s="74"/>
      <c r="H19" s="74"/>
    </row>
    <row r="20" spans="1:8" s="7" customFormat="1" ht="14.25">
      <c r="A20" s="18" t="s">
        <v>10</v>
      </c>
      <c r="B20" s="15">
        <v>50</v>
      </c>
      <c r="C20" s="74"/>
      <c r="D20" s="74"/>
      <c r="E20" s="74"/>
      <c r="F20" s="74"/>
      <c r="G20" s="74"/>
      <c r="H20" s="74"/>
    </row>
    <row r="21" spans="1:8" s="7" customFormat="1" ht="28.5">
      <c r="A21" s="18" t="s">
        <v>17</v>
      </c>
      <c r="B21" s="15">
        <v>40</v>
      </c>
      <c r="C21" s="74" t="s">
        <v>382</v>
      </c>
      <c r="D21" s="74">
        <v>40</v>
      </c>
      <c r="E21" s="74" t="s">
        <v>382</v>
      </c>
      <c r="F21" s="74">
        <v>40</v>
      </c>
      <c r="G21" s="74" t="s">
        <v>382</v>
      </c>
      <c r="H21" s="74">
        <v>40</v>
      </c>
    </row>
    <row r="22" spans="1:8" s="7" customFormat="1" ht="14.25">
      <c r="A22" s="18" t="s">
        <v>33</v>
      </c>
      <c r="B22" s="15">
        <v>30</v>
      </c>
      <c r="C22" s="74"/>
      <c r="D22" s="74"/>
      <c r="E22" s="74"/>
      <c r="F22" s="74"/>
      <c r="G22" s="74"/>
      <c r="H22" s="74"/>
    </row>
    <row r="23" spans="1:8" s="7" customFormat="1" ht="28.5">
      <c r="A23" s="18" t="s">
        <v>34</v>
      </c>
      <c r="B23" s="19" t="s">
        <v>91</v>
      </c>
      <c r="C23" s="74"/>
      <c r="D23" s="74"/>
      <c r="E23" s="74"/>
      <c r="F23" s="74"/>
      <c r="G23" s="74"/>
      <c r="H23" s="74"/>
    </row>
    <row r="24" spans="1:8" s="7" customFormat="1" ht="15">
      <c r="A24" s="14" t="s">
        <v>8</v>
      </c>
      <c r="B24" s="17" t="s">
        <v>216</v>
      </c>
      <c r="C24" s="74"/>
      <c r="D24" s="74"/>
      <c r="E24" s="74"/>
      <c r="F24" s="74"/>
      <c r="G24" s="74"/>
      <c r="H24" s="74"/>
    </row>
    <row r="25" spans="1:8" s="7" customFormat="1" ht="14.25">
      <c r="A25" s="18" t="s">
        <v>9</v>
      </c>
      <c r="B25" s="15">
        <v>60</v>
      </c>
      <c r="C25" s="74"/>
      <c r="D25" s="74"/>
      <c r="E25" s="74"/>
      <c r="F25" s="74"/>
      <c r="G25" s="74"/>
      <c r="H25" s="74"/>
    </row>
    <row r="26" spans="1:8" s="7" customFormat="1" ht="14.25">
      <c r="A26" s="18" t="s">
        <v>35</v>
      </c>
      <c r="B26" s="15">
        <v>20</v>
      </c>
      <c r="C26" s="74"/>
      <c r="D26" s="137"/>
      <c r="E26" s="74"/>
      <c r="F26" s="137"/>
      <c r="G26" s="74"/>
      <c r="H26" s="137"/>
    </row>
    <row r="27" spans="1:8" s="7" customFormat="1" ht="14.25">
      <c r="A27" s="18" t="s">
        <v>36</v>
      </c>
      <c r="B27" s="15">
        <v>10</v>
      </c>
      <c r="C27" s="74"/>
      <c r="D27" s="74"/>
      <c r="E27" s="74"/>
      <c r="F27" s="74"/>
      <c r="G27" s="74"/>
      <c r="H27" s="74"/>
    </row>
    <row r="28" spans="1:8" s="7" customFormat="1" ht="14.25">
      <c r="A28" s="18" t="s">
        <v>37</v>
      </c>
      <c r="B28" s="15">
        <v>5</v>
      </c>
      <c r="C28" s="74"/>
      <c r="D28" s="74"/>
      <c r="E28" s="74"/>
      <c r="F28" s="74"/>
      <c r="G28" s="74"/>
      <c r="H28" s="74"/>
    </row>
    <row r="29" spans="1:8" s="7" customFormat="1" ht="28.5">
      <c r="A29" s="18" t="s">
        <v>11</v>
      </c>
      <c r="B29" s="19" t="s">
        <v>91</v>
      </c>
      <c r="C29" s="74"/>
      <c r="D29" s="74"/>
      <c r="E29" s="74"/>
      <c r="F29" s="74"/>
      <c r="G29" s="74"/>
      <c r="H29" s="74"/>
    </row>
    <row r="30" spans="1:8" s="7" customFormat="1" ht="14.25">
      <c r="A30" s="18"/>
      <c r="B30" s="19"/>
      <c r="C30" s="216"/>
      <c r="D30" s="216"/>
      <c r="E30" s="216"/>
      <c r="F30" s="216"/>
      <c r="G30" s="216"/>
      <c r="H30" s="216"/>
    </row>
    <row r="31" spans="1:8" s="7" customFormat="1" ht="14.25" customHeight="1">
      <c r="A31" s="14" t="s">
        <v>8</v>
      </c>
      <c r="B31" s="17" t="s">
        <v>217</v>
      </c>
      <c r="C31" s="74"/>
      <c r="D31" s="74"/>
      <c r="E31" s="74"/>
      <c r="F31" s="74"/>
      <c r="G31" s="74"/>
      <c r="H31" s="74"/>
    </row>
    <row r="32" spans="1:8" s="7" customFormat="1" ht="14.25">
      <c r="A32" s="18" t="s">
        <v>9</v>
      </c>
      <c r="B32" s="15">
        <v>60</v>
      </c>
      <c r="C32" s="74"/>
      <c r="D32" s="74"/>
      <c r="E32" s="74"/>
      <c r="F32" s="74"/>
      <c r="G32" s="74"/>
      <c r="H32" s="74"/>
    </row>
    <row r="33" spans="1:8" s="7" customFormat="1" ht="14.25">
      <c r="A33" s="18" t="s">
        <v>35</v>
      </c>
      <c r="B33" s="15">
        <v>3</v>
      </c>
      <c r="C33" s="74"/>
      <c r="D33" s="74"/>
      <c r="E33" s="74"/>
      <c r="F33" s="74"/>
      <c r="G33" s="74"/>
      <c r="H33" s="74"/>
    </row>
    <row r="34" spans="1:8" s="7" customFormat="1" ht="14.25">
      <c r="A34" s="18" t="s">
        <v>36</v>
      </c>
      <c r="B34" s="15">
        <v>2</v>
      </c>
      <c r="C34" s="74"/>
      <c r="D34" s="137"/>
      <c r="E34" s="74"/>
      <c r="F34" s="137"/>
      <c r="G34" s="74"/>
      <c r="H34" s="137"/>
    </row>
    <row r="35" spans="1:8" s="7" customFormat="1" ht="14.25">
      <c r="A35" s="18" t="s">
        <v>37</v>
      </c>
      <c r="B35" s="15">
        <v>1</v>
      </c>
      <c r="C35" s="74"/>
      <c r="D35" s="137"/>
      <c r="E35" s="74"/>
      <c r="F35" s="137"/>
      <c r="G35" s="74"/>
      <c r="H35" s="137"/>
    </row>
    <row r="36" spans="1:8" s="7" customFormat="1" ht="28.5">
      <c r="A36" s="18" t="s">
        <v>11</v>
      </c>
      <c r="B36" s="19" t="s">
        <v>91</v>
      </c>
      <c r="C36" s="74"/>
      <c r="D36" s="74"/>
      <c r="E36" s="74"/>
      <c r="F36" s="74"/>
      <c r="G36" s="74"/>
      <c r="H36" s="74"/>
    </row>
    <row r="37" spans="1:8" s="7" customFormat="1" ht="15">
      <c r="A37" s="380" t="s">
        <v>218</v>
      </c>
      <c r="B37" s="380"/>
      <c r="C37" s="217"/>
      <c r="D37" s="217"/>
      <c r="E37" s="217"/>
      <c r="F37" s="217"/>
      <c r="G37" s="217"/>
      <c r="H37" s="217"/>
    </row>
    <row r="38" spans="1:8" s="7" customFormat="1" ht="14.25">
      <c r="A38" s="383" t="s">
        <v>38</v>
      </c>
      <c r="B38" s="384"/>
      <c r="C38" s="74"/>
      <c r="D38" s="74"/>
      <c r="E38" s="74"/>
      <c r="F38" s="74"/>
      <c r="G38" s="74"/>
      <c r="H38" s="74"/>
    </row>
    <row r="39" spans="1:8" s="7" customFormat="1" ht="15" customHeight="1">
      <c r="A39" s="20" t="s">
        <v>8</v>
      </c>
      <c r="B39" s="16" t="s">
        <v>2</v>
      </c>
      <c r="C39" s="216"/>
      <c r="D39" s="216"/>
      <c r="E39" s="216"/>
      <c r="F39" s="216"/>
      <c r="G39" s="216"/>
      <c r="H39" s="216"/>
    </row>
    <row r="40" spans="1:9" s="7" customFormat="1" ht="14.25" customHeight="1">
      <c r="A40" s="21" t="s">
        <v>9</v>
      </c>
      <c r="B40" s="15">
        <v>60</v>
      </c>
      <c r="C40" s="74" t="s">
        <v>383</v>
      </c>
      <c r="D40" s="137">
        <v>60</v>
      </c>
      <c r="E40" s="74" t="s">
        <v>383</v>
      </c>
      <c r="F40" s="137">
        <v>60</v>
      </c>
      <c r="G40" s="74" t="s">
        <v>383</v>
      </c>
      <c r="H40" s="137">
        <v>60</v>
      </c>
      <c r="I40" s="330"/>
    </row>
    <row r="41" spans="1:8" s="7" customFormat="1" ht="14.25">
      <c r="A41" s="21" t="s">
        <v>10</v>
      </c>
      <c r="B41" s="15">
        <v>40</v>
      </c>
      <c r="C41" s="74"/>
      <c r="D41" s="74"/>
      <c r="E41" s="74"/>
      <c r="F41" s="74"/>
      <c r="G41" s="74"/>
      <c r="H41" s="74"/>
    </row>
    <row r="42" spans="1:8" s="7" customFormat="1" ht="14.25">
      <c r="A42" s="21" t="s">
        <v>39</v>
      </c>
      <c r="B42" s="15">
        <v>20</v>
      </c>
      <c r="C42" s="74"/>
      <c r="D42" s="137"/>
      <c r="E42" s="74"/>
      <c r="F42" s="137"/>
      <c r="G42" s="74"/>
      <c r="H42" s="137"/>
    </row>
    <row r="43" spans="1:8" s="7" customFormat="1" ht="14.25">
      <c r="A43" s="21" t="s">
        <v>40</v>
      </c>
      <c r="B43" s="15">
        <v>10</v>
      </c>
      <c r="C43" s="74"/>
      <c r="D43" s="137"/>
      <c r="E43" s="74"/>
      <c r="F43" s="137"/>
      <c r="G43" s="74"/>
      <c r="H43" s="137"/>
    </row>
    <row r="44" spans="1:8" s="7" customFormat="1" ht="14.25">
      <c r="A44" s="21" t="s">
        <v>41</v>
      </c>
      <c r="B44" s="15">
        <v>5</v>
      </c>
      <c r="C44" s="74"/>
      <c r="D44" s="74"/>
      <c r="E44" s="74"/>
      <c r="F44" s="74"/>
      <c r="G44" s="74"/>
      <c r="H44" s="74"/>
    </row>
    <row r="45" spans="1:8" s="7" customFormat="1" ht="28.5">
      <c r="A45" s="21" t="s">
        <v>42</v>
      </c>
      <c r="B45" s="19" t="s">
        <v>91</v>
      </c>
      <c r="C45" s="74"/>
      <c r="D45" s="74"/>
      <c r="E45" s="74"/>
      <c r="F45" s="74"/>
      <c r="G45" s="74"/>
      <c r="H45" s="74"/>
    </row>
    <row r="46" spans="1:8" s="7" customFormat="1" ht="15">
      <c r="A46" s="380" t="s">
        <v>219</v>
      </c>
      <c r="B46" s="380"/>
      <c r="C46" s="217"/>
      <c r="D46" s="217"/>
      <c r="E46" s="217"/>
      <c r="F46" s="217"/>
      <c r="G46" s="217"/>
      <c r="H46" s="217"/>
    </row>
    <row r="47" spans="1:8" s="7" customFormat="1" ht="14.25" customHeight="1">
      <c r="A47" s="383" t="s">
        <v>220</v>
      </c>
      <c r="B47" s="384"/>
      <c r="C47" s="74"/>
      <c r="D47" s="74"/>
      <c r="E47" s="74"/>
      <c r="F47" s="74"/>
      <c r="G47" s="74"/>
      <c r="H47" s="74"/>
    </row>
    <row r="48" spans="1:8" s="7" customFormat="1" ht="15">
      <c r="A48" s="20" t="s">
        <v>8</v>
      </c>
      <c r="B48" s="16" t="s">
        <v>2</v>
      </c>
      <c r="C48" s="74"/>
      <c r="D48" s="74"/>
      <c r="E48" s="74"/>
      <c r="F48" s="74"/>
      <c r="G48" s="74"/>
      <c r="H48" s="74"/>
    </row>
    <row r="49" spans="1:8" s="7" customFormat="1" ht="14.25">
      <c r="A49" s="21" t="s">
        <v>9</v>
      </c>
      <c r="B49" s="15">
        <v>50</v>
      </c>
      <c r="C49" s="74" t="s">
        <v>383</v>
      </c>
      <c r="D49" s="137">
        <v>50</v>
      </c>
      <c r="E49" s="74" t="s">
        <v>383</v>
      </c>
      <c r="F49" s="137">
        <v>50</v>
      </c>
      <c r="G49" s="74" t="s">
        <v>383</v>
      </c>
      <c r="H49" s="137">
        <v>50</v>
      </c>
    </row>
    <row r="50" spans="1:8" s="7" customFormat="1" ht="14.25">
      <c r="A50" s="21" t="s">
        <v>10</v>
      </c>
      <c r="B50" s="15">
        <v>35</v>
      </c>
      <c r="C50" s="74"/>
      <c r="D50" s="137"/>
      <c r="E50" s="74"/>
      <c r="F50" s="137"/>
      <c r="G50" s="74"/>
      <c r="H50" s="137"/>
    </row>
    <row r="51" spans="1:8" s="7" customFormat="1" ht="14.25">
      <c r="A51" s="21" t="s">
        <v>17</v>
      </c>
      <c r="B51" s="15">
        <v>15</v>
      </c>
      <c r="C51" s="74"/>
      <c r="D51" s="74"/>
      <c r="E51" s="74"/>
      <c r="F51" s="74"/>
      <c r="G51" s="74"/>
      <c r="H51" s="74"/>
    </row>
    <row r="52" spans="1:8" s="7" customFormat="1" ht="14.25">
      <c r="A52" s="21" t="s">
        <v>37</v>
      </c>
      <c r="B52" s="15">
        <v>10</v>
      </c>
      <c r="C52" s="74"/>
      <c r="D52" s="74"/>
      <c r="E52" s="74"/>
      <c r="F52" s="74"/>
      <c r="G52" s="74"/>
      <c r="H52" s="74"/>
    </row>
    <row r="53" spans="1:8" s="7" customFormat="1" ht="15" customHeight="1">
      <c r="A53" s="21" t="s">
        <v>11</v>
      </c>
      <c r="B53" s="19" t="s">
        <v>91</v>
      </c>
      <c r="C53" s="216"/>
      <c r="D53" s="216"/>
      <c r="E53" s="216"/>
      <c r="F53" s="216"/>
      <c r="G53" s="216"/>
      <c r="H53" s="216"/>
    </row>
    <row r="54" spans="1:8" s="7" customFormat="1" ht="14.25" customHeight="1">
      <c r="A54" s="375" t="s">
        <v>221</v>
      </c>
      <c r="B54" s="376"/>
      <c r="C54" s="74"/>
      <c r="D54" s="74"/>
      <c r="E54" s="74"/>
      <c r="F54" s="74"/>
      <c r="G54" s="74"/>
      <c r="H54" s="74"/>
    </row>
    <row r="55" spans="1:8" s="7" customFormat="1" ht="15">
      <c r="A55" s="14" t="s">
        <v>8</v>
      </c>
      <c r="B55" s="16" t="s">
        <v>2</v>
      </c>
      <c r="C55" s="74"/>
      <c r="D55" s="74"/>
      <c r="E55" s="74"/>
      <c r="F55" s="74"/>
      <c r="G55" s="74"/>
      <c r="H55" s="74"/>
    </row>
    <row r="56" spans="1:8" s="7" customFormat="1" ht="14.25">
      <c r="A56" s="18" t="s">
        <v>9</v>
      </c>
      <c r="B56" s="15">
        <v>10</v>
      </c>
      <c r="C56" s="74" t="s">
        <v>383</v>
      </c>
      <c r="D56" s="137">
        <v>10</v>
      </c>
      <c r="E56" s="74" t="s">
        <v>383</v>
      </c>
      <c r="F56" s="137">
        <v>10</v>
      </c>
      <c r="G56" s="74" t="s">
        <v>383</v>
      </c>
      <c r="H56" s="137">
        <v>10</v>
      </c>
    </row>
    <row r="57" spans="1:8" s="7" customFormat="1" ht="14.25">
      <c r="A57" s="21" t="s">
        <v>44</v>
      </c>
      <c r="B57" s="15">
        <v>3</v>
      </c>
      <c r="C57" s="74"/>
      <c r="D57" s="74"/>
      <c r="E57" s="74"/>
      <c r="F57" s="74"/>
      <c r="G57" s="74"/>
      <c r="H57" s="74"/>
    </row>
    <row r="58" spans="1:8" s="7" customFormat="1" ht="14.25">
      <c r="A58" s="21" t="s">
        <v>45</v>
      </c>
      <c r="B58" s="15">
        <v>1</v>
      </c>
      <c r="C58" s="74"/>
      <c r="D58" s="74"/>
      <c r="E58" s="74"/>
      <c r="F58" s="74"/>
      <c r="G58" s="74"/>
      <c r="H58" s="74"/>
    </row>
    <row r="59" spans="1:8" s="7" customFormat="1" ht="28.5">
      <c r="A59" s="21" t="s">
        <v>46</v>
      </c>
      <c r="B59" s="19" t="s">
        <v>91</v>
      </c>
      <c r="C59" s="74"/>
      <c r="D59" s="137"/>
      <c r="E59" s="74"/>
      <c r="F59" s="137"/>
      <c r="G59" s="74"/>
      <c r="H59" s="137"/>
    </row>
    <row r="60" spans="1:8" s="7" customFormat="1" ht="15">
      <c r="A60" s="380" t="s">
        <v>222</v>
      </c>
      <c r="B60" s="380"/>
      <c r="C60" s="217"/>
      <c r="D60" s="217"/>
      <c r="E60" s="217"/>
      <c r="F60" s="217"/>
      <c r="G60" s="217"/>
      <c r="H60" s="217"/>
    </row>
    <row r="61" spans="1:8" s="7" customFormat="1" ht="14.25" customHeight="1">
      <c r="A61" s="383" t="s">
        <v>223</v>
      </c>
      <c r="B61" s="384"/>
      <c r="C61" s="74"/>
      <c r="D61" s="74"/>
      <c r="E61" s="74"/>
      <c r="F61" s="74"/>
      <c r="G61" s="74"/>
      <c r="H61" s="74"/>
    </row>
    <row r="62" spans="1:8" s="7" customFormat="1" ht="15">
      <c r="A62" s="20" t="s">
        <v>8</v>
      </c>
      <c r="B62" s="16" t="s">
        <v>2</v>
      </c>
      <c r="C62" s="74"/>
      <c r="D62" s="74"/>
      <c r="E62" s="74"/>
      <c r="F62" s="74"/>
      <c r="G62" s="74"/>
      <c r="H62" s="74"/>
    </row>
    <row r="63" spans="1:8" s="7" customFormat="1" ht="14.25">
      <c r="A63" s="21" t="s">
        <v>9</v>
      </c>
      <c r="B63" s="15">
        <v>25</v>
      </c>
      <c r="C63" s="74" t="s">
        <v>383</v>
      </c>
      <c r="D63" s="137">
        <v>25</v>
      </c>
      <c r="E63" s="74" t="s">
        <v>383</v>
      </c>
      <c r="F63" s="137">
        <v>25</v>
      </c>
      <c r="G63" s="74" t="s">
        <v>383</v>
      </c>
      <c r="H63" s="137">
        <v>25</v>
      </c>
    </row>
    <row r="64" spans="1:8" s="7" customFormat="1" ht="14.25">
      <c r="A64" s="21" t="s">
        <v>10</v>
      </c>
      <c r="B64" s="15">
        <v>15</v>
      </c>
      <c r="C64" s="74"/>
      <c r="D64" s="137"/>
      <c r="E64" s="74"/>
      <c r="F64" s="137"/>
      <c r="G64" s="74"/>
      <c r="H64" s="137"/>
    </row>
    <row r="65" spans="1:8" s="7" customFormat="1" ht="14.25">
      <c r="A65" s="21" t="s">
        <v>17</v>
      </c>
      <c r="B65" s="15">
        <v>10</v>
      </c>
      <c r="C65" s="74"/>
      <c r="D65" s="74"/>
      <c r="E65" s="74"/>
      <c r="F65" s="74"/>
      <c r="G65" s="74"/>
      <c r="H65" s="74"/>
    </row>
    <row r="66" spans="1:8" s="7" customFormat="1" ht="14.25">
      <c r="A66" s="21" t="s">
        <v>37</v>
      </c>
      <c r="B66" s="15">
        <v>5</v>
      </c>
      <c r="C66" s="74"/>
      <c r="D66" s="74"/>
      <c r="E66" s="74"/>
      <c r="F66" s="74"/>
      <c r="G66" s="74"/>
      <c r="H66" s="74"/>
    </row>
    <row r="67" spans="1:8" s="7" customFormat="1" ht="72.75" customHeight="1">
      <c r="A67" s="21" t="s">
        <v>11</v>
      </c>
      <c r="B67" s="19" t="s">
        <v>91</v>
      </c>
      <c r="C67" s="216"/>
      <c r="D67" s="216"/>
      <c r="E67" s="216"/>
      <c r="F67" s="216"/>
      <c r="G67" s="216"/>
      <c r="H67" s="216"/>
    </row>
    <row r="68" spans="1:8" s="7" customFormat="1" ht="14.25" customHeight="1">
      <c r="A68" s="375" t="s">
        <v>43</v>
      </c>
      <c r="B68" s="376"/>
      <c r="C68" s="74"/>
      <c r="D68" s="74"/>
      <c r="E68" s="74"/>
      <c r="F68" s="74"/>
      <c r="G68" s="74"/>
      <c r="H68" s="74"/>
    </row>
    <row r="69" spans="1:8" s="7" customFormat="1" ht="15">
      <c r="A69" s="14" t="s">
        <v>8</v>
      </c>
      <c r="B69" s="16" t="s">
        <v>2</v>
      </c>
      <c r="C69" s="74"/>
      <c r="D69" s="74"/>
      <c r="E69" s="74"/>
      <c r="F69" s="74"/>
      <c r="G69" s="74"/>
      <c r="H69" s="74"/>
    </row>
    <row r="70" spans="1:8" s="7" customFormat="1" ht="14.25">
      <c r="A70" s="18" t="s">
        <v>9</v>
      </c>
      <c r="B70" s="15">
        <v>5</v>
      </c>
      <c r="C70" s="74" t="s">
        <v>383</v>
      </c>
      <c r="D70" s="137">
        <v>5</v>
      </c>
      <c r="E70" s="74" t="s">
        <v>383</v>
      </c>
      <c r="F70" s="137">
        <v>5</v>
      </c>
      <c r="G70" s="74" t="s">
        <v>383</v>
      </c>
      <c r="H70" s="137">
        <v>5</v>
      </c>
    </row>
    <row r="71" spans="1:8" s="7" customFormat="1" ht="14.25">
      <c r="A71" s="21" t="s">
        <v>44</v>
      </c>
      <c r="B71" s="15">
        <v>3</v>
      </c>
      <c r="C71" s="74"/>
      <c r="D71" s="74"/>
      <c r="E71" s="74"/>
      <c r="F71" s="74"/>
      <c r="G71" s="74"/>
      <c r="H71" s="74"/>
    </row>
    <row r="72" spans="1:8" s="7" customFormat="1" ht="14.25">
      <c r="A72" s="21" t="s">
        <v>45</v>
      </c>
      <c r="B72" s="15">
        <v>1</v>
      </c>
      <c r="C72" s="74"/>
      <c r="D72" s="74"/>
      <c r="E72" s="74"/>
      <c r="F72" s="74"/>
      <c r="G72" s="74"/>
      <c r="H72" s="74"/>
    </row>
    <row r="73" spans="1:8" s="7" customFormat="1" ht="28.5">
      <c r="A73" s="21" t="s">
        <v>46</v>
      </c>
      <c r="B73" s="19" t="s">
        <v>91</v>
      </c>
      <c r="C73" s="74"/>
      <c r="D73" s="137"/>
      <c r="E73" s="74"/>
      <c r="F73" s="137"/>
      <c r="G73" s="74"/>
      <c r="H73" s="137"/>
    </row>
    <row r="74" spans="1:8" s="7" customFormat="1" ht="42.75" customHeight="1">
      <c r="A74" s="380" t="s">
        <v>224</v>
      </c>
      <c r="B74" s="380"/>
      <c r="C74" s="217"/>
      <c r="D74" s="217"/>
      <c r="E74" s="217"/>
      <c r="F74" s="217"/>
      <c r="G74" s="217"/>
      <c r="H74" s="217"/>
    </row>
    <row r="75" spans="1:8" s="7" customFormat="1" ht="14.25" customHeight="1">
      <c r="A75" s="383" t="s">
        <v>225</v>
      </c>
      <c r="B75" s="384"/>
      <c r="C75" s="74"/>
      <c r="D75" s="74"/>
      <c r="E75" s="74"/>
      <c r="F75" s="74"/>
      <c r="G75" s="74"/>
      <c r="H75" s="74"/>
    </row>
    <row r="76" spans="1:8" s="7" customFormat="1" ht="15">
      <c r="A76" s="20" t="s">
        <v>8</v>
      </c>
      <c r="B76" s="16" t="s">
        <v>2</v>
      </c>
      <c r="C76" s="74"/>
      <c r="D76" s="74"/>
      <c r="E76" s="74"/>
      <c r="F76" s="74"/>
      <c r="G76" s="74"/>
      <c r="H76" s="74"/>
    </row>
    <row r="77" spans="1:8" s="7" customFormat="1" ht="14.25">
      <c r="A77" s="21" t="s">
        <v>9</v>
      </c>
      <c r="B77" s="15">
        <v>25</v>
      </c>
      <c r="C77" s="74" t="s">
        <v>383</v>
      </c>
      <c r="D77" s="137">
        <v>25</v>
      </c>
      <c r="E77" s="74" t="s">
        <v>383</v>
      </c>
      <c r="F77" s="137">
        <v>25</v>
      </c>
      <c r="G77" s="74" t="s">
        <v>383</v>
      </c>
      <c r="H77" s="137">
        <v>25</v>
      </c>
    </row>
    <row r="78" spans="1:8" s="7" customFormat="1" ht="14.25">
      <c r="A78" s="21" t="s">
        <v>10</v>
      </c>
      <c r="B78" s="15">
        <v>15</v>
      </c>
      <c r="C78" s="74"/>
      <c r="D78" s="137"/>
      <c r="E78" s="74"/>
      <c r="F78" s="137"/>
      <c r="G78" s="74"/>
      <c r="H78" s="137"/>
    </row>
    <row r="79" spans="1:8" s="7" customFormat="1" ht="14.25">
      <c r="A79" s="21" t="s">
        <v>17</v>
      </c>
      <c r="B79" s="15">
        <v>10</v>
      </c>
      <c r="C79" s="74"/>
      <c r="D79" s="74"/>
      <c r="E79" s="74"/>
      <c r="F79" s="74"/>
      <c r="G79" s="74"/>
      <c r="H79" s="74"/>
    </row>
    <row r="80" spans="1:8" s="7" customFormat="1" ht="14.25">
      <c r="A80" s="21" t="s">
        <v>37</v>
      </c>
      <c r="B80" s="15">
        <v>5</v>
      </c>
      <c r="C80" s="74"/>
      <c r="D80" s="74"/>
      <c r="E80" s="74"/>
      <c r="F80" s="74"/>
      <c r="G80" s="74"/>
      <c r="H80" s="74"/>
    </row>
    <row r="81" spans="1:8" s="7" customFormat="1" ht="44.25" customHeight="1">
      <c r="A81" s="21" t="s">
        <v>11</v>
      </c>
      <c r="B81" s="19" t="s">
        <v>91</v>
      </c>
      <c r="C81" s="216"/>
      <c r="D81" s="216"/>
      <c r="E81" s="216"/>
      <c r="F81" s="216"/>
      <c r="G81" s="216"/>
      <c r="H81" s="216"/>
    </row>
    <row r="82" spans="1:8" s="7" customFormat="1" ht="14.25" customHeight="1">
      <c r="A82" s="385" t="s">
        <v>47</v>
      </c>
      <c r="B82" s="384"/>
      <c r="C82" s="74"/>
      <c r="D82" s="74"/>
      <c r="E82" s="74"/>
      <c r="F82" s="74"/>
      <c r="G82" s="74"/>
      <c r="H82" s="74"/>
    </row>
    <row r="83" spans="1:8" s="7" customFormat="1" ht="15">
      <c r="A83" s="14" t="s">
        <v>8</v>
      </c>
      <c r="B83" s="16" t="s">
        <v>2</v>
      </c>
      <c r="C83" s="74"/>
      <c r="D83" s="74"/>
      <c r="E83" s="74"/>
      <c r="F83" s="74"/>
      <c r="G83" s="74"/>
      <c r="H83" s="74"/>
    </row>
    <row r="84" spans="1:8" s="7" customFormat="1" ht="14.25">
      <c r="A84" s="18" t="s">
        <v>9</v>
      </c>
      <c r="B84" s="15">
        <v>5</v>
      </c>
      <c r="C84" s="74" t="s">
        <v>383</v>
      </c>
      <c r="D84" s="137">
        <v>5</v>
      </c>
      <c r="E84" s="74" t="s">
        <v>383</v>
      </c>
      <c r="F84" s="137">
        <v>5</v>
      </c>
      <c r="G84" s="74" t="s">
        <v>383</v>
      </c>
      <c r="H84" s="137">
        <v>5</v>
      </c>
    </row>
    <row r="85" spans="1:8" s="7" customFormat="1" ht="14.25">
      <c r="A85" s="21" t="s">
        <v>44</v>
      </c>
      <c r="B85" s="15">
        <v>3</v>
      </c>
      <c r="C85" s="74"/>
      <c r="D85" s="137"/>
      <c r="E85" s="74"/>
      <c r="F85" s="137"/>
      <c r="G85" s="74"/>
      <c r="H85" s="137"/>
    </row>
    <row r="86" spans="1:8" s="7" customFormat="1" ht="14.25">
      <c r="A86" s="21" t="s">
        <v>45</v>
      </c>
      <c r="B86" s="15">
        <v>1</v>
      </c>
      <c r="C86" s="74"/>
      <c r="D86" s="137"/>
      <c r="E86" s="74"/>
      <c r="F86" s="137"/>
      <c r="G86" s="74"/>
      <c r="H86" s="137"/>
    </row>
    <row r="87" spans="1:8" s="7" customFormat="1" ht="28.5">
      <c r="A87" s="21" t="s">
        <v>46</v>
      </c>
      <c r="B87" s="19" t="s">
        <v>91</v>
      </c>
      <c r="C87" s="74"/>
      <c r="D87" s="137"/>
      <c r="E87" s="74"/>
      <c r="F87" s="137"/>
      <c r="G87" s="74"/>
      <c r="H87" s="137"/>
    </row>
    <row r="88" spans="1:8" s="7" customFormat="1" ht="15">
      <c r="A88" s="380" t="s">
        <v>226</v>
      </c>
      <c r="B88" s="380"/>
      <c r="C88" s="217"/>
      <c r="D88" s="218"/>
      <c r="E88" s="217"/>
      <c r="F88" s="218"/>
      <c r="G88" s="217"/>
      <c r="H88" s="218"/>
    </row>
    <row r="89" spans="1:8" s="7" customFormat="1" ht="14.25" customHeight="1">
      <c r="A89" s="383" t="s">
        <v>225</v>
      </c>
      <c r="B89" s="384"/>
      <c r="C89" s="74"/>
      <c r="D89" s="137"/>
      <c r="E89" s="74"/>
      <c r="F89" s="137"/>
      <c r="G89" s="74"/>
      <c r="H89" s="137"/>
    </row>
    <row r="90" spans="1:8" s="7" customFormat="1" ht="15">
      <c r="A90" s="20" t="s">
        <v>8</v>
      </c>
      <c r="B90" s="16" t="s">
        <v>2</v>
      </c>
      <c r="C90" s="74"/>
      <c r="D90" s="137"/>
      <c r="E90" s="74"/>
      <c r="F90" s="137"/>
      <c r="G90" s="74"/>
      <c r="H90" s="137"/>
    </row>
    <row r="91" spans="1:8" s="7" customFormat="1" ht="14.25">
      <c r="A91" s="21" t="s">
        <v>9</v>
      </c>
      <c r="B91" s="15">
        <v>25</v>
      </c>
      <c r="C91" s="74" t="s">
        <v>383</v>
      </c>
      <c r="D91" s="137">
        <v>25</v>
      </c>
      <c r="E91" s="74" t="s">
        <v>383</v>
      </c>
      <c r="F91" s="137">
        <v>25</v>
      </c>
      <c r="G91" s="74" t="s">
        <v>383</v>
      </c>
      <c r="H91" s="137">
        <v>25</v>
      </c>
    </row>
    <row r="92" spans="1:8" s="7" customFormat="1" ht="14.25">
      <c r="A92" s="21" t="s">
        <v>10</v>
      </c>
      <c r="B92" s="15">
        <v>15</v>
      </c>
      <c r="C92" s="74"/>
      <c r="D92" s="137"/>
      <c r="E92" s="74"/>
      <c r="F92" s="137"/>
      <c r="G92" s="74"/>
      <c r="H92" s="137"/>
    </row>
    <row r="93" spans="1:8" s="7" customFormat="1" ht="14.25">
      <c r="A93" s="21" t="s">
        <v>17</v>
      </c>
      <c r="B93" s="15">
        <v>10</v>
      </c>
      <c r="C93" s="74"/>
      <c r="D93" s="74"/>
      <c r="E93" s="74"/>
      <c r="F93" s="74"/>
      <c r="G93" s="74"/>
      <c r="H93" s="74"/>
    </row>
    <row r="94" spans="1:8" s="7" customFormat="1" ht="14.25">
      <c r="A94" s="21" t="s">
        <v>37</v>
      </c>
      <c r="B94" s="15">
        <v>5</v>
      </c>
      <c r="C94" s="74"/>
      <c r="D94" s="74"/>
      <c r="E94" s="74"/>
      <c r="F94" s="74"/>
      <c r="G94" s="74"/>
      <c r="H94" s="74"/>
    </row>
    <row r="95" spans="1:8" s="7" customFormat="1" ht="48" customHeight="1">
      <c r="A95" s="21" t="s">
        <v>11</v>
      </c>
      <c r="B95" s="19" t="s">
        <v>91</v>
      </c>
      <c r="C95" s="216"/>
      <c r="D95" s="216"/>
      <c r="E95" s="216"/>
      <c r="F95" s="216"/>
      <c r="G95" s="216"/>
      <c r="H95" s="216"/>
    </row>
    <row r="96" spans="1:8" s="7" customFormat="1" ht="14.25" customHeight="1">
      <c r="A96" s="385" t="s">
        <v>47</v>
      </c>
      <c r="B96" s="384"/>
      <c r="C96" s="74"/>
      <c r="D96" s="74"/>
      <c r="E96" s="74"/>
      <c r="F96" s="74"/>
      <c r="G96" s="74"/>
      <c r="H96" s="74"/>
    </row>
    <row r="97" spans="1:8" s="7" customFormat="1" ht="15">
      <c r="A97" s="14" t="s">
        <v>8</v>
      </c>
      <c r="B97" s="16" t="s">
        <v>2</v>
      </c>
      <c r="C97" s="74"/>
      <c r="D97" s="74"/>
      <c r="E97" s="74"/>
      <c r="F97" s="74"/>
      <c r="G97" s="74"/>
      <c r="H97" s="74"/>
    </row>
    <row r="98" spans="1:8" s="7" customFormat="1" ht="14.25">
      <c r="A98" s="18" t="s">
        <v>9</v>
      </c>
      <c r="B98" s="15">
        <v>5</v>
      </c>
      <c r="C98" s="74" t="s">
        <v>383</v>
      </c>
      <c r="D98" s="137">
        <v>5</v>
      </c>
      <c r="E98" s="74" t="s">
        <v>383</v>
      </c>
      <c r="F98" s="137">
        <v>5</v>
      </c>
      <c r="G98" s="74" t="s">
        <v>383</v>
      </c>
      <c r="H98" s="137">
        <v>5</v>
      </c>
    </row>
    <row r="99" spans="1:8" s="7" customFormat="1" ht="14.25">
      <c r="A99" s="21" t="s">
        <v>44</v>
      </c>
      <c r="B99" s="15">
        <v>3</v>
      </c>
      <c r="C99" s="74"/>
      <c r="D99" s="74"/>
      <c r="E99" s="74"/>
      <c r="F99" s="74"/>
      <c r="G99" s="74"/>
      <c r="H99" s="74"/>
    </row>
    <row r="100" spans="1:8" s="7" customFormat="1" ht="14.25">
      <c r="A100" s="21" t="s">
        <v>45</v>
      </c>
      <c r="B100" s="15">
        <v>1</v>
      </c>
      <c r="C100" s="74"/>
      <c r="D100" s="74"/>
      <c r="E100" s="74"/>
      <c r="F100" s="74"/>
      <c r="G100" s="74"/>
      <c r="H100" s="74"/>
    </row>
    <row r="101" spans="1:8" s="7" customFormat="1" ht="28.5">
      <c r="A101" s="21" t="s">
        <v>46</v>
      </c>
      <c r="B101" s="19" t="s">
        <v>91</v>
      </c>
      <c r="C101" s="74"/>
      <c r="D101" s="137"/>
      <c r="E101" s="74"/>
      <c r="F101" s="137"/>
      <c r="G101" s="74"/>
      <c r="H101" s="137"/>
    </row>
    <row r="102" spans="1:8" s="7" customFormat="1" ht="15">
      <c r="A102" s="380" t="s">
        <v>227</v>
      </c>
      <c r="B102" s="380"/>
      <c r="C102" s="217"/>
      <c r="D102" s="217"/>
      <c r="E102" s="217"/>
      <c r="F102" s="217"/>
      <c r="G102" s="217"/>
      <c r="H102" s="217"/>
    </row>
    <row r="103" spans="1:8" s="7" customFormat="1" ht="14.25" customHeight="1">
      <c r="A103" s="383" t="s">
        <v>228</v>
      </c>
      <c r="B103" s="384"/>
      <c r="C103" s="219"/>
      <c r="D103" s="219"/>
      <c r="E103" s="219"/>
      <c r="F103" s="219"/>
      <c r="G103" s="219"/>
      <c r="H103" s="219"/>
    </row>
    <row r="104" spans="1:8" s="7" customFormat="1" ht="15">
      <c r="A104" s="20" t="s">
        <v>8</v>
      </c>
      <c r="B104" s="16" t="s">
        <v>2</v>
      </c>
      <c r="C104" s="219"/>
      <c r="D104" s="219"/>
      <c r="E104" s="219"/>
      <c r="F104" s="219"/>
      <c r="G104" s="219"/>
      <c r="H104" s="219"/>
    </row>
    <row r="105" spans="1:8" s="7" customFormat="1" ht="14.25">
      <c r="A105" s="21" t="s">
        <v>9</v>
      </c>
      <c r="B105" s="15">
        <v>25</v>
      </c>
      <c r="C105" s="74" t="s">
        <v>383</v>
      </c>
      <c r="D105" s="219">
        <v>25</v>
      </c>
      <c r="E105" s="74" t="s">
        <v>383</v>
      </c>
      <c r="F105" s="219">
        <v>25</v>
      </c>
      <c r="G105" s="74" t="s">
        <v>383</v>
      </c>
      <c r="H105" s="219">
        <v>25</v>
      </c>
    </row>
    <row r="106" spans="1:8" s="7" customFormat="1" ht="14.25">
      <c r="A106" s="21" t="s">
        <v>10</v>
      </c>
      <c r="B106" s="15">
        <v>15</v>
      </c>
      <c r="C106" s="219"/>
      <c r="D106" s="219"/>
      <c r="E106" s="219"/>
      <c r="F106" s="219"/>
      <c r="G106" s="219"/>
      <c r="H106" s="219"/>
    </row>
    <row r="107" spans="1:8" s="7" customFormat="1" ht="14.25">
      <c r="A107" s="21" t="s">
        <v>17</v>
      </c>
      <c r="B107" s="15">
        <v>10</v>
      </c>
      <c r="C107" s="219"/>
      <c r="D107" s="219"/>
      <c r="E107" s="219"/>
      <c r="F107" s="219"/>
      <c r="G107" s="219"/>
      <c r="H107" s="219"/>
    </row>
    <row r="108" spans="1:8" s="7" customFormat="1" ht="14.25">
      <c r="A108" s="21" t="s">
        <v>37</v>
      </c>
      <c r="B108" s="15">
        <v>5</v>
      </c>
      <c r="C108" s="219"/>
      <c r="D108" s="219"/>
      <c r="E108" s="219"/>
      <c r="F108" s="219"/>
      <c r="G108" s="219"/>
      <c r="H108" s="219"/>
    </row>
    <row r="109" spans="1:8" s="136" customFormat="1" ht="28.5">
      <c r="A109" s="21" t="s">
        <v>11</v>
      </c>
      <c r="B109" s="19" t="s">
        <v>91</v>
      </c>
      <c r="C109" s="74"/>
      <c r="D109" s="74"/>
      <c r="E109" s="74"/>
      <c r="F109" s="74"/>
      <c r="G109" s="74"/>
      <c r="H109" s="74"/>
    </row>
    <row r="110" spans="1:8" ht="15">
      <c r="A110" s="385" t="s">
        <v>48</v>
      </c>
      <c r="B110" s="384"/>
      <c r="C110" s="74"/>
      <c r="D110" s="74"/>
      <c r="E110" s="74"/>
      <c r="F110" s="74"/>
      <c r="G110" s="74"/>
      <c r="H110" s="74"/>
    </row>
    <row r="111" spans="1:8" ht="52.5" customHeight="1">
      <c r="A111" s="14" t="s">
        <v>8</v>
      </c>
      <c r="B111" s="16" t="s">
        <v>2</v>
      </c>
      <c r="C111" s="74"/>
      <c r="D111" s="74"/>
      <c r="E111" s="74"/>
      <c r="F111" s="74"/>
      <c r="G111" s="74"/>
      <c r="H111" s="74"/>
    </row>
    <row r="112" spans="1:8" ht="15">
      <c r="A112" s="18" t="s">
        <v>9</v>
      </c>
      <c r="B112" s="15">
        <v>5</v>
      </c>
      <c r="C112" s="74" t="s">
        <v>383</v>
      </c>
      <c r="D112" s="137">
        <v>5</v>
      </c>
      <c r="E112" s="74" t="s">
        <v>383</v>
      </c>
      <c r="F112" s="137">
        <v>5</v>
      </c>
      <c r="G112" s="74" t="s">
        <v>383</v>
      </c>
      <c r="H112" s="137">
        <v>5</v>
      </c>
    </row>
    <row r="113" spans="1:8" ht="15">
      <c r="A113" s="21" t="s">
        <v>44</v>
      </c>
      <c r="B113" s="15">
        <v>3</v>
      </c>
      <c r="C113" s="74"/>
      <c r="D113" s="137"/>
      <c r="E113" s="74"/>
      <c r="F113" s="137"/>
      <c r="G113" s="74"/>
      <c r="H113" s="137"/>
    </row>
    <row r="114" spans="1:8" s="1" customFormat="1" ht="14.25">
      <c r="A114" s="21" t="s">
        <v>45</v>
      </c>
      <c r="B114" s="15">
        <v>1</v>
      </c>
      <c r="C114" s="74"/>
      <c r="D114" s="137"/>
      <c r="E114" s="74"/>
      <c r="F114" s="137"/>
      <c r="G114" s="74"/>
      <c r="H114" s="137"/>
    </row>
    <row r="115" spans="1:8" s="1" customFormat="1" ht="28.5">
      <c r="A115" s="21" t="s">
        <v>46</v>
      </c>
      <c r="B115" s="19" t="s">
        <v>91</v>
      </c>
      <c r="C115" s="74"/>
      <c r="D115" s="137"/>
      <c r="E115" s="74"/>
      <c r="F115" s="137"/>
      <c r="G115" s="74"/>
      <c r="H115" s="137"/>
    </row>
    <row r="116" spans="1:8" s="223" customFormat="1" ht="14.25" customHeight="1">
      <c r="A116" s="222" t="s">
        <v>230</v>
      </c>
      <c r="B116" s="222"/>
      <c r="C116" s="134"/>
      <c r="D116" s="135">
        <f>SUM(D8:D115)</f>
        <v>280</v>
      </c>
      <c r="E116" s="134"/>
      <c r="F116" s="135">
        <f>SUM(F8:F115)</f>
        <v>280</v>
      </c>
      <c r="G116" s="134"/>
      <c r="H116" s="135">
        <f>SUM(H8:H115)</f>
        <v>280</v>
      </c>
    </row>
    <row r="117" spans="1:8" s="209" customFormat="1" ht="14.25" customHeight="1">
      <c r="A117" s="210"/>
      <c r="B117" s="210"/>
      <c r="C117" s="220"/>
      <c r="D117" s="221"/>
      <c r="E117" s="220"/>
      <c r="F117" s="221"/>
      <c r="G117" s="220"/>
      <c r="H117" s="221"/>
    </row>
    <row r="118" spans="1:8" s="209" customFormat="1" ht="14.25" customHeight="1">
      <c r="A118" s="210"/>
      <c r="B118" s="210"/>
      <c r="C118" s="220"/>
      <c r="D118" s="221"/>
      <c r="E118" s="220"/>
      <c r="F118" s="221"/>
      <c r="G118" s="220"/>
      <c r="H118" s="221"/>
    </row>
    <row r="119" spans="1:8" s="1" customFormat="1" ht="33.75" customHeight="1">
      <c r="A119" s="355" t="s">
        <v>209</v>
      </c>
      <c r="B119" s="355"/>
      <c r="C119" s="355"/>
      <c r="D119" s="355"/>
      <c r="E119" s="355"/>
      <c r="F119" s="355"/>
      <c r="G119" s="355"/>
      <c r="H119" s="355"/>
    </row>
    <row r="120" spans="1:8" s="1" customFormat="1" ht="15">
      <c r="A120"/>
      <c r="B120"/>
      <c r="C120"/>
      <c r="D120"/>
      <c r="E120"/>
      <c r="F120"/>
      <c r="G120"/>
      <c r="H120"/>
    </row>
    <row r="121" spans="1:8" s="1" customFormat="1" ht="24.75" customHeight="1">
      <c r="A121"/>
      <c r="B121"/>
      <c r="C121"/>
      <c r="D121"/>
      <c r="E121"/>
      <c r="F121"/>
      <c r="G121"/>
      <c r="H121"/>
    </row>
    <row r="122" spans="1:8" s="1" customFormat="1" ht="31.5" customHeight="1">
      <c r="A122" s="377"/>
      <c r="B122" s="378"/>
      <c r="C122" s="373" t="s">
        <v>162</v>
      </c>
      <c r="D122" s="374"/>
      <c r="E122" s="374"/>
      <c r="F122" s="374"/>
      <c r="G122" s="374"/>
      <c r="H122" s="374"/>
    </row>
    <row r="123" spans="1:8" s="1" customFormat="1" ht="54">
      <c r="A123" s="79" t="s">
        <v>55</v>
      </c>
      <c r="B123" s="80"/>
      <c r="C123" s="130" t="s">
        <v>330</v>
      </c>
      <c r="D123" s="130" t="s">
        <v>2</v>
      </c>
      <c r="E123" s="130" t="s">
        <v>331</v>
      </c>
      <c r="F123" s="130" t="s">
        <v>2</v>
      </c>
      <c r="G123" s="130" t="s">
        <v>332</v>
      </c>
      <c r="H123" s="130" t="s">
        <v>2</v>
      </c>
    </row>
    <row r="124" spans="1:8" s="1" customFormat="1" ht="15" customHeight="1">
      <c r="A124" s="41" t="s">
        <v>7</v>
      </c>
      <c r="B124" s="70"/>
      <c r="C124" s="142"/>
      <c r="D124" s="142"/>
      <c r="E124" s="142"/>
      <c r="F124" s="142"/>
      <c r="G124" s="142"/>
      <c r="H124" s="142"/>
    </row>
    <row r="125" spans="1:8" s="1" customFormat="1" ht="15" customHeight="1">
      <c r="A125" s="30" t="s">
        <v>56</v>
      </c>
      <c r="B125" s="31">
        <v>150</v>
      </c>
      <c r="C125" s="142"/>
      <c r="D125" s="142"/>
      <c r="E125" s="142"/>
      <c r="F125" s="142"/>
      <c r="G125" s="142"/>
      <c r="H125" s="142"/>
    </row>
    <row r="126" spans="1:8" s="1" customFormat="1" ht="14.25">
      <c r="A126" s="30" t="s">
        <v>57</v>
      </c>
      <c r="B126" s="31">
        <v>150</v>
      </c>
      <c r="C126" s="142"/>
      <c r="D126" s="142"/>
      <c r="E126" s="142"/>
      <c r="F126" s="142"/>
      <c r="G126" s="142"/>
      <c r="H126" s="142"/>
    </row>
    <row r="127" spans="1:8" s="1" customFormat="1" ht="15">
      <c r="A127" s="32" t="s">
        <v>58</v>
      </c>
      <c r="B127" s="33">
        <f>SUM(B125:B126)</f>
        <v>300</v>
      </c>
      <c r="C127" s="142"/>
      <c r="D127" s="142"/>
      <c r="E127" s="142"/>
      <c r="F127" s="142"/>
      <c r="G127" s="142"/>
      <c r="H127" s="142"/>
    </row>
    <row r="128" spans="1:8" s="1" customFormat="1" ht="14.25">
      <c r="A128" s="386" t="s">
        <v>59</v>
      </c>
      <c r="B128" s="387"/>
      <c r="C128" s="142"/>
      <c r="D128" s="142"/>
      <c r="E128" s="142"/>
      <c r="F128" s="142"/>
      <c r="G128" s="142"/>
      <c r="H128" s="142"/>
    </row>
    <row r="129" spans="1:8" s="1" customFormat="1" ht="45" customHeight="1">
      <c r="A129" s="353" t="s">
        <v>233</v>
      </c>
      <c r="B129" s="354"/>
      <c r="C129" s="81"/>
      <c r="D129" s="81"/>
      <c r="E129" s="81"/>
      <c r="F129" s="81"/>
      <c r="G129" s="81"/>
      <c r="H129" s="81"/>
    </row>
    <row r="130" spans="1:8" s="1" customFormat="1" ht="30">
      <c r="A130" s="41" t="s">
        <v>60</v>
      </c>
      <c r="B130" s="71"/>
      <c r="C130" s="68"/>
      <c r="D130" s="68"/>
      <c r="E130" s="68"/>
      <c r="F130" s="68"/>
      <c r="G130" s="68"/>
      <c r="H130" s="68"/>
    </row>
    <row r="131" spans="1:8" s="1" customFormat="1" ht="15">
      <c r="A131" s="32" t="s">
        <v>8</v>
      </c>
      <c r="B131" s="33" t="s">
        <v>2</v>
      </c>
      <c r="C131" s="68"/>
      <c r="D131" s="68"/>
      <c r="E131" s="68"/>
      <c r="F131" s="68"/>
      <c r="G131" s="68"/>
      <c r="H131" s="68"/>
    </row>
    <row r="132" spans="1:12" s="1" customFormat="1" ht="15" customHeight="1">
      <c r="A132" s="34" t="s">
        <v>9</v>
      </c>
      <c r="B132" s="31">
        <v>120</v>
      </c>
      <c r="C132" s="74" t="s">
        <v>383</v>
      </c>
      <c r="D132" s="143">
        <v>120</v>
      </c>
      <c r="E132" s="74" t="s">
        <v>383</v>
      </c>
      <c r="F132" s="143">
        <v>120</v>
      </c>
      <c r="G132" s="74" t="s">
        <v>383</v>
      </c>
      <c r="H132" s="143">
        <v>120</v>
      </c>
      <c r="I132" s="225"/>
      <c r="J132" s="225"/>
      <c r="K132" s="225"/>
      <c r="L132" s="27"/>
    </row>
    <row r="133" spans="1:12" s="1" customFormat="1" ht="15" customHeight="1">
      <c r="A133" s="34" t="s">
        <v>10</v>
      </c>
      <c r="B133" s="31">
        <v>100</v>
      </c>
      <c r="C133" s="68"/>
      <c r="D133" s="143"/>
      <c r="E133" s="68"/>
      <c r="F133" s="143"/>
      <c r="G133" s="68"/>
      <c r="H133" s="143"/>
      <c r="I133" s="225"/>
      <c r="J133" s="225"/>
      <c r="K133" s="225"/>
      <c r="L133" s="27"/>
    </row>
    <row r="134" spans="1:12" s="1" customFormat="1" ht="14.25">
      <c r="A134" s="34" t="s">
        <v>36</v>
      </c>
      <c r="B134" s="31">
        <v>80</v>
      </c>
      <c r="C134" s="68"/>
      <c r="D134" s="143"/>
      <c r="E134" s="68"/>
      <c r="F134" s="143"/>
      <c r="G134" s="68"/>
      <c r="H134" s="143"/>
      <c r="I134" s="225"/>
      <c r="J134" s="225"/>
      <c r="K134" s="225"/>
      <c r="L134" s="27"/>
    </row>
    <row r="135" spans="1:12" s="1" customFormat="1" ht="14.25">
      <c r="A135" s="34" t="s">
        <v>33</v>
      </c>
      <c r="B135" s="31">
        <v>60</v>
      </c>
      <c r="C135" s="68"/>
      <c r="D135" s="143"/>
      <c r="E135" s="68"/>
      <c r="F135" s="143"/>
      <c r="G135" s="68"/>
      <c r="H135" s="143"/>
      <c r="I135" s="225"/>
      <c r="J135" s="225"/>
      <c r="K135" s="225"/>
      <c r="L135" s="27"/>
    </row>
    <row r="136" spans="1:12" s="1" customFormat="1" ht="14.25">
      <c r="A136" s="34" t="s">
        <v>61</v>
      </c>
      <c r="B136" s="31">
        <v>30</v>
      </c>
      <c r="C136" s="68"/>
      <c r="D136" s="143"/>
      <c r="E136" s="68"/>
      <c r="F136" s="143"/>
      <c r="G136" s="68"/>
      <c r="H136" s="143"/>
      <c r="I136" s="225"/>
      <c r="J136" s="225"/>
      <c r="K136" s="225"/>
      <c r="L136" s="27"/>
    </row>
    <row r="137" spans="1:8" s="1" customFormat="1" ht="74.25" customHeight="1">
      <c r="A137" s="34" t="s">
        <v>42</v>
      </c>
      <c r="B137" s="31" t="s">
        <v>91</v>
      </c>
      <c r="C137" s="68"/>
      <c r="D137" s="143"/>
      <c r="E137" s="68"/>
      <c r="F137" s="143"/>
      <c r="G137" s="68"/>
      <c r="H137" s="143"/>
    </row>
    <row r="138" spans="1:8" s="1" customFormat="1" ht="15" customHeight="1">
      <c r="A138" s="41" t="s">
        <v>62</v>
      </c>
      <c r="B138" s="71"/>
      <c r="C138" s="68"/>
      <c r="D138" s="143"/>
      <c r="E138" s="68"/>
      <c r="F138" s="143"/>
      <c r="G138" s="68"/>
      <c r="H138" s="143"/>
    </row>
    <row r="139" spans="1:8" s="1" customFormat="1" ht="15" customHeight="1">
      <c r="A139" s="32" t="s">
        <v>8</v>
      </c>
      <c r="B139" s="33" t="s">
        <v>2</v>
      </c>
      <c r="C139" s="68"/>
      <c r="D139" s="143"/>
      <c r="E139" s="68"/>
      <c r="F139" s="143"/>
      <c r="G139" s="68"/>
      <c r="H139" s="143"/>
    </row>
    <row r="140" spans="1:8" s="1" customFormat="1" ht="15" customHeight="1">
      <c r="A140" s="30" t="s">
        <v>9</v>
      </c>
      <c r="B140" s="31">
        <v>30</v>
      </c>
      <c r="C140" s="74" t="s">
        <v>383</v>
      </c>
      <c r="D140" s="143">
        <v>30</v>
      </c>
      <c r="E140" s="74" t="s">
        <v>383</v>
      </c>
      <c r="F140" s="143">
        <v>30</v>
      </c>
      <c r="G140" s="74" t="s">
        <v>383</v>
      </c>
      <c r="H140" s="143">
        <v>30</v>
      </c>
    </row>
    <row r="141" spans="1:8" s="1" customFormat="1" ht="15" customHeight="1">
      <c r="A141" s="30" t="s">
        <v>63</v>
      </c>
      <c r="B141" s="31">
        <v>20</v>
      </c>
      <c r="C141" s="68"/>
      <c r="D141" s="143"/>
      <c r="E141" s="68"/>
      <c r="F141" s="143"/>
      <c r="G141" s="68"/>
      <c r="H141" s="143"/>
    </row>
    <row r="142" spans="1:8" s="1" customFormat="1" ht="14.25" customHeight="1">
      <c r="A142" s="30" t="s">
        <v>64</v>
      </c>
      <c r="B142" s="31">
        <v>10</v>
      </c>
      <c r="C142" s="68"/>
      <c r="D142" s="143"/>
      <c r="E142" s="68"/>
      <c r="F142" s="143"/>
      <c r="G142" s="68"/>
      <c r="H142" s="143"/>
    </row>
    <row r="143" spans="1:8" s="1" customFormat="1" ht="28.5">
      <c r="A143" s="30" t="s">
        <v>46</v>
      </c>
      <c r="B143" s="31" t="s">
        <v>91</v>
      </c>
      <c r="C143" s="68"/>
      <c r="D143" s="68"/>
      <c r="E143" s="68"/>
      <c r="F143" s="68"/>
      <c r="G143" s="68"/>
      <c r="H143" s="68"/>
    </row>
    <row r="144" spans="1:8" s="1" customFormat="1" ht="45" customHeight="1">
      <c r="A144" s="353" t="s">
        <v>234</v>
      </c>
      <c r="B144" s="354"/>
      <c r="C144" s="81"/>
      <c r="D144" s="81"/>
      <c r="E144" s="81"/>
      <c r="F144" s="81"/>
      <c r="G144" s="81"/>
      <c r="H144" s="81"/>
    </row>
    <row r="145" spans="1:8" s="1" customFormat="1" ht="30">
      <c r="A145" s="41" t="s">
        <v>65</v>
      </c>
      <c r="B145" s="71"/>
      <c r="C145" s="68"/>
      <c r="D145" s="68"/>
      <c r="E145" s="68"/>
      <c r="F145" s="68"/>
      <c r="G145" s="68"/>
      <c r="H145" s="68"/>
    </row>
    <row r="146" spans="1:8" s="1" customFormat="1" ht="15">
      <c r="A146" s="32" t="s">
        <v>8</v>
      </c>
      <c r="B146" s="33" t="s">
        <v>2</v>
      </c>
      <c r="C146" s="68"/>
      <c r="D146" s="68"/>
      <c r="E146" s="68"/>
      <c r="F146" s="68"/>
      <c r="G146" s="68"/>
      <c r="H146" s="68"/>
    </row>
    <row r="147" spans="1:8" s="1" customFormat="1" ht="15" customHeight="1">
      <c r="A147" s="34" t="s">
        <v>9</v>
      </c>
      <c r="B147" s="31">
        <v>120</v>
      </c>
      <c r="C147" s="74" t="s">
        <v>383</v>
      </c>
      <c r="D147" s="143">
        <v>120</v>
      </c>
      <c r="E147" s="74" t="s">
        <v>383</v>
      </c>
      <c r="F147" s="143">
        <v>120</v>
      </c>
      <c r="G147" s="74" t="s">
        <v>383</v>
      </c>
      <c r="H147" s="143">
        <v>120</v>
      </c>
    </row>
    <row r="148" spans="1:8" s="1" customFormat="1" ht="15" customHeight="1">
      <c r="A148" s="34" t="s">
        <v>10</v>
      </c>
      <c r="B148" s="31">
        <v>100</v>
      </c>
      <c r="C148" s="68"/>
      <c r="D148" s="143"/>
      <c r="E148" s="68"/>
      <c r="F148" s="143"/>
      <c r="G148" s="68"/>
      <c r="H148" s="143"/>
    </row>
    <row r="149" spans="1:8" s="1" customFormat="1" ht="14.25" customHeight="1">
      <c r="A149" s="34" t="s">
        <v>36</v>
      </c>
      <c r="B149" s="31">
        <v>80</v>
      </c>
      <c r="C149" s="68"/>
      <c r="D149" s="143"/>
      <c r="E149" s="68"/>
      <c r="F149" s="143"/>
      <c r="G149" s="68"/>
      <c r="H149" s="143"/>
    </row>
    <row r="150" spans="1:8" s="1" customFormat="1" ht="14.25">
      <c r="A150" s="34" t="s">
        <v>33</v>
      </c>
      <c r="B150" s="31">
        <v>60</v>
      </c>
      <c r="C150" s="68"/>
      <c r="D150" s="143"/>
      <c r="E150" s="68"/>
      <c r="F150" s="143"/>
      <c r="G150" s="68"/>
      <c r="H150" s="143"/>
    </row>
    <row r="151" spans="1:8" s="1" customFormat="1" ht="14.25">
      <c r="A151" s="34" t="s">
        <v>61</v>
      </c>
      <c r="B151" s="31">
        <v>30</v>
      </c>
      <c r="C151" s="68"/>
      <c r="D151" s="143"/>
      <c r="E151" s="68"/>
      <c r="F151" s="143"/>
      <c r="G151" s="68"/>
      <c r="H151" s="143"/>
    </row>
    <row r="152" spans="1:8" s="1" customFormat="1" ht="28.5">
      <c r="A152" s="34" t="s">
        <v>42</v>
      </c>
      <c r="B152" s="31" t="s">
        <v>91</v>
      </c>
      <c r="C152" s="68"/>
      <c r="D152" s="143"/>
      <c r="E152" s="68"/>
      <c r="F152" s="143"/>
      <c r="G152" s="68"/>
      <c r="H152" s="143"/>
    </row>
    <row r="153" spans="1:8" s="136" customFormat="1" ht="18.75">
      <c r="A153" s="379" t="s">
        <v>66</v>
      </c>
      <c r="B153" s="379"/>
      <c r="C153" s="68"/>
      <c r="D153" s="143"/>
      <c r="E153" s="68"/>
      <c r="F153" s="143"/>
      <c r="G153" s="68"/>
      <c r="H153" s="143"/>
    </row>
    <row r="154" spans="1:8" s="1" customFormat="1" ht="15">
      <c r="A154" s="32" t="s">
        <v>8</v>
      </c>
      <c r="B154" s="33" t="s">
        <v>2</v>
      </c>
      <c r="C154" s="68"/>
      <c r="D154" s="143"/>
      <c r="E154" s="68"/>
      <c r="F154" s="143"/>
      <c r="G154" s="68"/>
      <c r="H154" s="143"/>
    </row>
    <row r="155" spans="1:8" s="1" customFormat="1" ht="15" customHeight="1">
      <c r="A155" s="30" t="s">
        <v>9</v>
      </c>
      <c r="B155" s="31">
        <v>30</v>
      </c>
      <c r="C155" s="74" t="s">
        <v>383</v>
      </c>
      <c r="D155" s="143">
        <v>30</v>
      </c>
      <c r="E155" s="74" t="s">
        <v>383</v>
      </c>
      <c r="F155" s="143">
        <v>30</v>
      </c>
      <c r="G155" s="74" t="s">
        <v>383</v>
      </c>
      <c r="H155" s="143">
        <v>30</v>
      </c>
    </row>
    <row r="156" spans="1:8" ht="15">
      <c r="A156" s="30" t="s">
        <v>63</v>
      </c>
      <c r="B156" s="31">
        <v>20</v>
      </c>
      <c r="C156" s="68"/>
      <c r="D156" s="143"/>
      <c r="E156" s="68"/>
      <c r="F156" s="143"/>
      <c r="G156" s="68"/>
      <c r="H156" s="143"/>
    </row>
    <row r="157" spans="1:8" ht="17.25" customHeight="1">
      <c r="A157" s="30" t="s">
        <v>64</v>
      </c>
      <c r="B157" s="31">
        <v>10</v>
      </c>
      <c r="C157" s="68"/>
      <c r="D157" s="68"/>
      <c r="E157" s="68"/>
      <c r="F157" s="68"/>
      <c r="G157" s="68"/>
      <c r="H157" s="68"/>
    </row>
    <row r="158" spans="1:8" s="1" customFormat="1" ht="28.5">
      <c r="A158" s="30" t="s">
        <v>46</v>
      </c>
      <c r="B158" s="31" t="s">
        <v>91</v>
      </c>
      <c r="C158" s="68"/>
      <c r="D158" s="68"/>
      <c r="E158" s="68"/>
      <c r="F158" s="68"/>
      <c r="G158" s="68"/>
      <c r="H158" s="68"/>
    </row>
    <row r="159" spans="1:8" s="1" customFormat="1" ht="22.5" customHeight="1">
      <c r="A159" s="132" t="s">
        <v>163</v>
      </c>
      <c r="B159" s="133"/>
      <c r="C159" s="134"/>
      <c r="D159" s="135">
        <f>SUM(D124:D158)</f>
        <v>300</v>
      </c>
      <c r="E159" s="134"/>
      <c r="F159" s="135">
        <f>SUM(F124:F158)</f>
        <v>300</v>
      </c>
      <c r="G159" s="134"/>
      <c r="H159" s="135">
        <f>SUM(H124:H158)</f>
        <v>300</v>
      </c>
    </row>
    <row r="160" s="1" customFormat="1" ht="17.25" customHeight="1">
      <c r="B160" s="35"/>
    </row>
    <row r="161" s="1" customFormat="1" ht="17.25" customHeight="1">
      <c r="B161" s="35"/>
    </row>
    <row r="162" spans="1:8" s="1" customFormat="1" ht="45" customHeight="1">
      <c r="A162" s="355" t="s">
        <v>210</v>
      </c>
      <c r="B162" s="355"/>
      <c r="C162" s="355"/>
      <c r="D162" s="355"/>
      <c r="E162" s="355"/>
      <c r="F162" s="355"/>
      <c r="G162" s="355"/>
      <c r="H162" s="355"/>
    </row>
    <row r="163" spans="1:8" s="1" customFormat="1" ht="15" customHeight="1">
      <c r="A163" s="78"/>
      <c r="B163" s="78"/>
      <c r="C163" s="270"/>
      <c r="D163" s="270"/>
      <c r="E163" s="270"/>
      <c r="F163" s="270"/>
      <c r="G163" s="169"/>
      <c r="H163" s="169"/>
    </row>
    <row r="164" spans="1:8" s="1" customFormat="1" ht="15" customHeight="1">
      <c r="A164" s="371"/>
      <c r="B164" s="372"/>
      <c r="C164" s="373" t="s">
        <v>162</v>
      </c>
      <c r="D164" s="374"/>
      <c r="E164" s="374"/>
      <c r="F164" s="374"/>
      <c r="G164" s="374"/>
      <c r="H164" s="374"/>
    </row>
    <row r="165" spans="1:8" s="1" customFormat="1" ht="54">
      <c r="A165" s="82" t="s">
        <v>69</v>
      </c>
      <c r="B165" s="83"/>
      <c r="C165" s="130" t="s">
        <v>330</v>
      </c>
      <c r="D165" s="130" t="s">
        <v>2</v>
      </c>
      <c r="E165" s="130" t="s">
        <v>331</v>
      </c>
      <c r="F165" s="130" t="s">
        <v>2</v>
      </c>
      <c r="G165" s="130" t="s">
        <v>332</v>
      </c>
      <c r="H165" s="130" t="s">
        <v>2</v>
      </c>
    </row>
    <row r="166" spans="1:8" s="1" customFormat="1" ht="15">
      <c r="A166" s="41" t="s">
        <v>7</v>
      </c>
      <c r="B166" s="226" t="s">
        <v>235</v>
      </c>
      <c r="C166" s="68"/>
      <c r="D166" s="68"/>
      <c r="E166" s="68"/>
      <c r="F166" s="68"/>
      <c r="G166" s="68"/>
      <c r="H166" s="68"/>
    </row>
    <row r="167" spans="1:8" s="1" customFormat="1" ht="14.25" customHeight="1">
      <c r="A167" s="365" t="s">
        <v>236</v>
      </c>
      <c r="B167" s="365"/>
      <c r="C167" s="81"/>
      <c r="D167" s="81"/>
      <c r="E167" s="81"/>
      <c r="F167" s="81"/>
      <c r="G167" s="81"/>
      <c r="H167" s="81"/>
    </row>
    <row r="168" spans="1:8" s="1" customFormat="1" ht="14.25" customHeight="1">
      <c r="A168" s="370" t="s">
        <v>237</v>
      </c>
      <c r="B168" s="370"/>
      <c r="C168" s="68"/>
      <c r="D168" s="68"/>
      <c r="E168" s="68"/>
      <c r="F168" s="68"/>
      <c r="G168" s="68"/>
      <c r="H168" s="68"/>
    </row>
    <row r="169" spans="1:8" s="1" customFormat="1" ht="14.25" customHeight="1">
      <c r="A169" s="32" t="s">
        <v>8</v>
      </c>
      <c r="B169" s="33" t="s">
        <v>2</v>
      </c>
      <c r="C169" s="68"/>
      <c r="D169" s="68"/>
      <c r="E169" s="68"/>
      <c r="F169" s="68"/>
      <c r="G169" s="68"/>
      <c r="H169" s="68"/>
    </row>
    <row r="170" spans="1:8" s="1" customFormat="1" ht="14.25">
      <c r="A170" s="30" t="s">
        <v>9</v>
      </c>
      <c r="B170" s="69">
        <v>120</v>
      </c>
      <c r="C170" s="74" t="s">
        <v>383</v>
      </c>
      <c r="D170" s="143">
        <v>120</v>
      </c>
      <c r="E170" s="74" t="s">
        <v>383</v>
      </c>
      <c r="F170" s="143">
        <v>120</v>
      </c>
      <c r="G170" s="74" t="s">
        <v>383</v>
      </c>
      <c r="H170" s="143">
        <v>120</v>
      </c>
    </row>
    <row r="171" spans="1:8" s="1" customFormat="1" ht="15" customHeight="1">
      <c r="A171" s="30" t="s">
        <v>10</v>
      </c>
      <c r="B171" s="69">
        <v>100</v>
      </c>
      <c r="C171" s="68"/>
      <c r="D171" s="68"/>
      <c r="E171" s="68"/>
      <c r="F171" s="68"/>
      <c r="G171" s="68"/>
      <c r="H171" s="68"/>
    </row>
    <row r="172" spans="1:8" s="1" customFormat="1" ht="15" customHeight="1">
      <c r="A172" s="30" t="s">
        <v>36</v>
      </c>
      <c r="B172" s="69">
        <v>80</v>
      </c>
      <c r="C172" s="68"/>
      <c r="D172" s="143"/>
      <c r="E172" s="68"/>
      <c r="F172" s="143"/>
      <c r="G172" s="68"/>
      <c r="H172" s="143"/>
    </row>
    <row r="173" spans="1:8" s="1" customFormat="1" ht="15" customHeight="1">
      <c r="A173" s="30" t="s">
        <v>33</v>
      </c>
      <c r="B173" s="69">
        <v>60</v>
      </c>
      <c r="C173" s="68"/>
      <c r="D173" s="143"/>
      <c r="E173" s="68"/>
      <c r="F173" s="143"/>
      <c r="G173" s="68"/>
      <c r="H173" s="143"/>
    </row>
    <row r="174" spans="1:8" s="1" customFormat="1" ht="14.25">
      <c r="A174" s="30" t="s">
        <v>61</v>
      </c>
      <c r="B174" s="69">
        <v>40</v>
      </c>
      <c r="C174" s="68"/>
      <c r="D174" s="143"/>
      <c r="E174" s="68"/>
      <c r="F174" s="143"/>
      <c r="G174" s="68"/>
      <c r="H174" s="143"/>
    </row>
    <row r="175" spans="1:8" s="1" customFormat="1" ht="14.25">
      <c r="A175" s="30" t="s">
        <v>70</v>
      </c>
      <c r="B175" s="31">
        <v>30</v>
      </c>
      <c r="C175" s="68"/>
      <c r="D175" s="143"/>
      <c r="E175" s="68"/>
      <c r="F175" s="143"/>
      <c r="G175" s="68"/>
      <c r="H175" s="143"/>
    </row>
    <row r="176" spans="1:8" s="1" customFormat="1" ht="28.5">
      <c r="A176" s="30" t="s">
        <v>71</v>
      </c>
      <c r="B176" s="227" t="s">
        <v>131</v>
      </c>
      <c r="C176" s="68"/>
      <c r="D176" s="143"/>
      <c r="E176" s="68"/>
      <c r="F176" s="143"/>
      <c r="G176" s="68"/>
      <c r="H176" s="143"/>
    </row>
    <row r="177" spans="1:8" s="1" customFormat="1" ht="15" customHeight="1">
      <c r="A177" s="370" t="s">
        <v>72</v>
      </c>
      <c r="B177" s="370"/>
      <c r="C177" s="68"/>
      <c r="D177" s="143"/>
      <c r="E177" s="68"/>
      <c r="F177" s="143"/>
      <c r="G177" s="68"/>
      <c r="H177" s="143"/>
    </row>
    <row r="178" spans="1:8" s="1" customFormat="1" ht="15">
      <c r="A178" s="32" t="s">
        <v>8</v>
      </c>
      <c r="B178" s="33" t="s">
        <v>2</v>
      </c>
      <c r="C178" s="68"/>
      <c r="D178" s="143"/>
      <c r="E178" s="68"/>
      <c r="F178" s="143"/>
      <c r="G178" s="68"/>
      <c r="H178" s="143"/>
    </row>
    <row r="179" spans="1:8" s="1" customFormat="1" ht="14.25">
      <c r="A179" s="30" t="s">
        <v>9</v>
      </c>
      <c r="B179" s="31">
        <v>30</v>
      </c>
      <c r="C179" s="74" t="s">
        <v>383</v>
      </c>
      <c r="D179" s="143">
        <v>30</v>
      </c>
      <c r="E179" s="74" t="s">
        <v>383</v>
      </c>
      <c r="F179" s="143">
        <v>30</v>
      </c>
      <c r="G179" s="74" t="s">
        <v>383</v>
      </c>
      <c r="H179" s="143">
        <v>30</v>
      </c>
    </row>
    <row r="180" spans="1:8" s="1" customFormat="1" ht="14.25">
      <c r="A180" s="30" t="s">
        <v>73</v>
      </c>
      <c r="B180" s="31">
        <v>20</v>
      </c>
      <c r="C180" s="68"/>
      <c r="D180" s="143"/>
      <c r="E180" s="68"/>
      <c r="F180" s="143"/>
      <c r="G180" s="68"/>
      <c r="H180" s="143"/>
    </row>
    <row r="181" spans="1:8" s="1" customFormat="1" ht="14.25">
      <c r="A181" s="30" t="s">
        <v>64</v>
      </c>
      <c r="B181" s="31">
        <v>10</v>
      </c>
      <c r="C181" s="68"/>
      <c r="D181" s="143"/>
      <c r="E181" s="68"/>
      <c r="F181" s="143"/>
      <c r="G181" s="68"/>
      <c r="H181" s="143"/>
    </row>
    <row r="182" spans="1:8" s="1" customFormat="1" ht="14.25">
      <c r="A182" s="30" t="s">
        <v>74</v>
      </c>
      <c r="B182" s="31">
        <v>5</v>
      </c>
      <c r="C182" s="68"/>
      <c r="D182" s="143"/>
      <c r="E182" s="68"/>
      <c r="F182" s="143"/>
      <c r="G182" s="68"/>
      <c r="H182" s="143"/>
    </row>
    <row r="183" spans="1:8" s="1" customFormat="1" ht="15" customHeight="1">
      <c r="A183" s="30" t="s">
        <v>75</v>
      </c>
      <c r="B183" s="31">
        <v>2</v>
      </c>
      <c r="C183" s="68"/>
      <c r="D183" s="143"/>
      <c r="E183" s="68"/>
      <c r="F183" s="143"/>
      <c r="G183" s="68"/>
      <c r="H183" s="143"/>
    </row>
    <row r="184" spans="1:8" s="1" customFormat="1" ht="14.25" customHeight="1">
      <c r="A184" s="30" t="s">
        <v>76</v>
      </c>
      <c r="B184" s="227" t="s">
        <v>131</v>
      </c>
      <c r="C184" s="68"/>
      <c r="D184" s="143"/>
      <c r="E184" s="68"/>
      <c r="F184" s="143"/>
      <c r="G184" s="68"/>
      <c r="H184" s="143"/>
    </row>
    <row r="185" spans="1:8" s="1" customFormat="1" ht="15" customHeight="1">
      <c r="A185" s="353" t="s">
        <v>238</v>
      </c>
      <c r="B185" s="354"/>
      <c r="C185" s="81"/>
      <c r="D185" s="144"/>
      <c r="E185" s="81"/>
      <c r="F185" s="144"/>
      <c r="G185" s="81"/>
      <c r="H185" s="144"/>
    </row>
    <row r="186" spans="1:8" s="1" customFormat="1" ht="15" customHeight="1">
      <c r="A186" s="368" t="s">
        <v>239</v>
      </c>
      <c r="B186" s="369"/>
      <c r="C186" s="68"/>
      <c r="D186" s="143"/>
      <c r="E186" s="68"/>
      <c r="F186" s="143"/>
      <c r="G186" s="68"/>
      <c r="H186" s="143"/>
    </row>
    <row r="187" spans="1:8" s="1" customFormat="1" ht="15">
      <c r="A187" s="32" t="s">
        <v>8</v>
      </c>
      <c r="B187" s="33" t="s">
        <v>2</v>
      </c>
      <c r="C187" s="68"/>
      <c r="D187" s="143"/>
      <c r="E187" s="68"/>
      <c r="F187" s="143"/>
      <c r="G187" s="68"/>
      <c r="H187" s="143"/>
    </row>
    <row r="188" spans="1:8" s="1" customFormat="1" ht="14.25">
      <c r="A188" s="30" t="s">
        <v>9</v>
      </c>
      <c r="B188" s="31">
        <v>120</v>
      </c>
      <c r="C188" s="74" t="s">
        <v>383</v>
      </c>
      <c r="D188" s="143">
        <v>120</v>
      </c>
      <c r="E188" s="74" t="s">
        <v>383</v>
      </c>
      <c r="F188" s="143">
        <v>120</v>
      </c>
      <c r="G188" s="74" t="s">
        <v>383</v>
      </c>
      <c r="H188" s="143">
        <v>120</v>
      </c>
    </row>
    <row r="189" spans="1:8" s="1" customFormat="1" ht="14.25">
      <c r="A189" s="30" t="s">
        <v>10</v>
      </c>
      <c r="B189" s="31">
        <v>100</v>
      </c>
      <c r="C189" s="68"/>
      <c r="D189" s="143"/>
      <c r="E189" s="68"/>
      <c r="F189" s="143"/>
      <c r="G189" s="68"/>
      <c r="H189" s="143"/>
    </row>
    <row r="190" spans="1:8" s="1" customFormat="1" ht="14.25">
      <c r="A190" s="30" t="s">
        <v>36</v>
      </c>
      <c r="B190" s="31">
        <v>80</v>
      </c>
      <c r="C190" s="68"/>
      <c r="D190" s="143"/>
      <c r="E190" s="68"/>
      <c r="F190" s="143"/>
      <c r="G190" s="68"/>
      <c r="H190" s="143"/>
    </row>
    <row r="191" spans="1:8" s="1" customFormat="1" ht="14.25" customHeight="1">
      <c r="A191" s="30" t="s">
        <v>33</v>
      </c>
      <c r="B191" s="31">
        <v>60</v>
      </c>
      <c r="C191" s="68"/>
      <c r="D191" s="143"/>
      <c r="E191" s="68"/>
      <c r="F191" s="143"/>
      <c r="G191" s="68"/>
      <c r="H191" s="143"/>
    </row>
    <row r="192" spans="1:8" s="1" customFormat="1" ht="14.25">
      <c r="A192" s="30" t="s">
        <v>61</v>
      </c>
      <c r="B192" s="31">
        <v>40</v>
      </c>
      <c r="C192" s="68"/>
      <c r="D192" s="143"/>
      <c r="E192" s="68"/>
      <c r="F192" s="143"/>
      <c r="G192" s="68"/>
      <c r="H192" s="143"/>
    </row>
    <row r="193" spans="1:8" s="1" customFormat="1" ht="14.25">
      <c r="A193" s="30" t="s">
        <v>70</v>
      </c>
      <c r="B193" s="31">
        <v>30</v>
      </c>
      <c r="C193" s="68"/>
      <c r="D193" s="143"/>
      <c r="E193" s="68"/>
      <c r="F193" s="143"/>
      <c r="G193" s="68"/>
      <c r="H193" s="143"/>
    </row>
    <row r="194" spans="1:8" s="1" customFormat="1" ht="28.5">
      <c r="A194" s="30" t="s">
        <v>71</v>
      </c>
      <c r="B194" s="227" t="s">
        <v>131</v>
      </c>
      <c r="C194" s="68"/>
      <c r="D194" s="143"/>
      <c r="E194" s="68"/>
      <c r="F194" s="143"/>
      <c r="G194" s="68"/>
      <c r="H194" s="143"/>
    </row>
    <row r="195" spans="1:8" s="1" customFormat="1" ht="15" customHeight="1">
      <c r="A195" s="368" t="s">
        <v>77</v>
      </c>
      <c r="B195" s="369"/>
      <c r="C195" s="68"/>
      <c r="D195" s="143"/>
      <c r="E195" s="68"/>
      <c r="F195" s="143"/>
      <c r="G195" s="68"/>
      <c r="H195" s="143"/>
    </row>
    <row r="196" spans="1:8" s="1" customFormat="1" ht="15">
      <c r="A196" s="32" t="s">
        <v>8</v>
      </c>
      <c r="B196" s="33" t="s">
        <v>2</v>
      </c>
      <c r="C196" s="68"/>
      <c r="D196" s="143"/>
      <c r="E196" s="68"/>
      <c r="F196" s="143"/>
      <c r="G196" s="68"/>
      <c r="H196" s="143"/>
    </row>
    <row r="197" spans="1:8" s="136" customFormat="1" ht="18.75" customHeight="1">
      <c r="A197" s="30" t="s">
        <v>9</v>
      </c>
      <c r="B197" s="31">
        <v>30</v>
      </c>
      <c r="C197" s="74" t="s">
        <v>383</v>
      </c>
      <c r="D197" s="143">
        <v>30</v>
      </c>
      <c r="E197" s="74" t="s">
        <v>383</v>
      </c>
      <c r="F197" s="143">
        <v>30</v>
      </c>
      <c r="G197" s="74" t="s">
        <v>383</v>
      </c>
      <c r="H197" s="143">
        <v>30</v>
      </c>
    </row>
    <row r="198" spans="1:8" s="1" customFormat="1" ht="14.25" customHeight="1">
      <c r="A198" s="30" t="s">
        <v>73</v>
      </c>
      <c r="B198" s="31">
        <v>20</v>
      </c>
      <c r="C198" s="68"/>
      <c r="D198" s="143"/>
      <c r="E198" s="68"/>
      <c r="F198" s="143"/>
      <c r="G198" s="68"/>
      <c r="H198" s="143"/>
    </row>
    <row r="199" spans="1:8" ht="15">
      <c r="A199" s="30" t="s">
        <v>64</v>
      </c>
      <c r="B199" s="31">
        <v>10</v>
      </c>
      <c r="C199" s="68"/>
      <c r="D199" s="143"/>
      <c r="E199" s="68"/>
      <c r="F199" s="143"/>
      <c r="G199" s="68"/>
      <c r="H199" s="143"/>
    </row>
    <row r="200" spans="1:8" ht="15">
      <c r="A200" s="30" t="s">
        <v>74</v>
      </c>
      <c r="B200" s="31">
        <v>5</v>
      </c>
      <c r="C200" s="68"/>
      <c r="D200" s="68"/>
      <c r="E200" s="68"/>
      <c r="F200" s="68"/>
      <c r="G200" s="68"/>
      <c r="H200" s="68"/>
    </row>
    <row r="201" spans="1:8" s="77" customFormat="1" ht="15">
      <c r="A201" s="30" t="s">
        <v>75</v>
      </c>
      <c r="B201" s="31">
        <v>2</v>
      </c>
      <c r="C201" s="68"/>
      <c r="D201" s="68"/>
      <c r="E201" s="68"/>
      <c r="F201" s="68"/>
      <c r="G201" s="68"/>
      <c r="H201" s="68"/>
    </row>
    <row r="202" spans="1:8" s="77" customFormat="1" ht="53.25" customHeight="1">
      <c r="A202" s="30" t="s">
        <v>76</v>
      </c>
      <c r="B202" s="227" t="s">
        <v>131</v>
      </c>
      <c r="C202" s="68"/>
      <c r="D202" s="68"/>
      <c r="E202" s="68"/>
      <c r="F202" s="68"/>
      <c r="G202" s="68"/>
      <c r="H202" s="68"/>
    </row>
    <row r="203" spans="1:8" ht="18.75">
      <c r="A203" s="132" t="s">
        <v>164</v>
      </c>
      <c r="B203" s="145"/>
      <c r="C203" s="134"/>
      <c r="D203" s="135">
        <f>SUM(D166:D202)</f>
        <v>300</v>
      </c>
      <c r="E203" s="134"/>
      <c r="F203" s="135">
        <f>SUM(F166:F202)</f>
        <v>300</v>
      </c>
      <c r="G203" s="134"/>
      <c r="H203" s="135">
        <f>SUM(H166:H202)</f>
        <v>300</v>
      </c>
    </row>
    <row r="204" spans="1:8" ht="18.75" customHeight="1">
      <c r="A204" s="1"/>
      <c r="B204" s="35"/>
      <c r="C204" s="1"/>
      <c r="D204" s="1"/>
      <c r="E204" s="1"/>
      <c r="F204" s="1"/>
      <c r="G204" s="1"/>
      <c r="H204" s="1"/>
    </row>
    <row r="205" spans="1:8" ht="47.25" customHeight="1">
      <c r="A205" s="355" t="s">
        <v>306</v>
      </c>
      <c r="B205" s="355"/>
      <c r="C205" s="355"/>
      <c r="D205" s="355"/>
      <c r="E205" s="355"/>
      <c r="F205" s="355"/>
      <c r="G205" s="355"/>
      <c r="H205" s="355"/>
    </row>
    <row r="206" spans="1:8" s="1" customFormat="1" ht="54">
      <c r="A206" s="82" t="s">
        <v>3</v>
      </c>
      <c r="B206" s="83"/>
      <c r="C206" s="130" t="s">
        <v>330</v>
      </c>
      <c r="D206" s="130" t="s">
        <v>2</v>
      </c>
      <c r="E206" s="130" t="s">
        <v>331</v>
      </c>
      <c r="F206" s="130" t="s">
        <v>2</v>
      </c>
      <c r="G206" s="130" t="s">
        <v>332</v>
      </c>
      <c r="H206" s="130" t="s">
        <v>2</v>
      </c>
    </row>
    <row r="207" spans="1:8" s="1" customFormat="1" ht="15" customHeight="1">
      <c r="A207" s="260" t="s">
        <v>292</v>
      </c>
      <c r="B207" s="261"/>
      <c r="C207" s="290"/>
      <c r="D207" s="290"/>
      <c r="E207" s="290"/>
      <c r="F207" s="290"/>
      <c r="G207" s="290"/>
      <c r="H207" s="290"/>
    </row>
    <row r="208" spans="1:8" s="1" customFormat="1" ht="27.75" customHeight="1">
      <c r="A208" s="262" t="s">
        <v>293</v>
      </c>
      <c r="B208" s="263"/>
      <c r="C208" s="291"/>
      <c r="D208" s="291"/>
      <c r="E208" s="291"/>
      <c r="F208" s="291"/>
      <c r="G208" s="291"/>
      <c r="H208" s="291"/>
    </row>
    <row r="209" spans="1:8" s="1" customFormat="1" ht="15">
      <c r="A209" s="264" t="s">
        <v>7</v>
      </c>
      <c r="B209" s="261"/>
      <c r="C209" s="290"/>
      <c r="D209" s="290"/>
      <c r="E209" s="290"/>
      <c r="F209" s="290"/>
      <c r="G209" s="290"/>
      <c r="H209" s="290"/>
    </row>
    <row r="210" spans="1:8" s="1" customFormat="1" ht="15">
      <c r="A210" s="256" t="s">
        <v>294</v>
      </c>
      <c r="B210" s="265">
        <v>150</v>
      </c>
      <c r="C210" s="292"/>
      <c r="D210" s="292"/>
      <c r="E210" s="292"/>
      <c r="F210" s="292"/>
      <c r="G210" s="292"/>
      <c r="H210" s="292"/>
    </row>
    <row r="211" spans="1:8" s="1" customFormat="1" ht="15">
      <c r="A211" s="32" t="s">
        <v>295</v>
      </c>
      <c r="B211" s="265">
        <v>150</v>
      </c>
      <c r="C211" s="292"/>
      <c r="D211" s="292"/>
      <c r="E211" s="292"/>
      <c r="F211" s="292"/>
      <c r="G211" s="292"/>
      <c r="H211" s="292"/>
    </row>
    <row r="212" spans="1:8" s="1" customFormat="1" ht="15">
      <c r="A212" s="32" t="s">
        <v>24</v>
      </c>
      <c r="B212" s="266">
        <f>SUM(B210:H211)</f>
        <v>300</v>
      </c>
      <c r="C212" s="293"/>
      <c r="D212" s="293"/>
      <c r="E212" s="293"/>
      <c r="F212" s="293"/>
      <c r="G212" s="293"/>
      <c r="H212" s="293"/>
    </row>
    <row r="213" spans="1:8" s="1" customFormat="1" ht="57" customHeight="1">
      <c r="A213" s="267" t="s">
        <v>296</v>
      </c>
      <c r="B213" s="268"/>
      <c r="C213" s="289"/>
      <c r="D213" s="289"/>
      <c r="E213" s="289"/>
      <c r="F213" s="289"/>
      <c r="G213" s="289"/>
      <c r="H213" s="289"/>
    </row>
    <row r="214" spans="1:8" s="1" customFormat="1" ht="51.75" customHeight="1">
      <c r="A214" s="41" t="s">
        <v>297</v>
      </c>
      <c r="B214" s="263"/>
      <c r="C214" s="254"/>
      <c r="D214" s="254"/>
      <c r="E214" s="254"/>
      <c r="F214" s="254"/>
      <c r="G214" s="254"/>
      <c r="H214" s="254"/>
    </row>
    <row r="215" spans="1:8" s="1" customFormat="1" ht="15">
      <c r="A215" s="256" t="s">
        <v>8</v>
      </c>
      <c r="B215" s="266" t="s">
        <v>2</v>
      </c>
      <c r="C215" s="288"/>
      <c r="D215" s="288"/>
      <c r="E215" s="288"/>
      <c r="F215" s="288"/>
      <c r="G215" s="288"/>
      <c r="H215" s="288"/>
    </row>
    <row r="216" spans="1:8" s="1" customFormat="1" ht="14.25">
      <c r="A216" s="34" t="s">
        <v>9</v>
      </c>
      <c r="B216" s="265">
        <v>75</v>
      </c>
      <c r="C216" s="74" t="s">
        <v>383</v>
      </c>
      <c r="D216" s="299">
        <v>75</v>
      </c>
      <c r="E216" s="74" t="s">
        <v>383</v>
      </c>
      <c r="F216" s="299">
        <v>75</v>
      </c>
      <c r="G216" s="74" t="s">
        <v>383</v>
      </c>
      <c r="H216" s="299">
        <v>75</v>
      </c>
    </row>
    <row r="217" spans="1:8" s="1" customFormat="1" ht="14.25">
      <c r="A217" s="34" t="s">
        <v>298</v>
      </c>
      <c r="B217" s="265">
        <v>50</v>
      </c>
      <c r="C217" s="294"/>
      <c r="D217" s="299"/>
      <c r="E217" s="294"/>
      <c r="F217" s="299"/>
      <c r="G217" s="294"/>
      <c r="H217" s="299"/>
    </row>
    <row r="218" spans="1:8" s="1" customFormat="1" ht="14.25">
      <c r="A218" s="34" t="s">
        <v>299</v>
      </c>
      <c r="B218" s="265">
        <v>40</v>
      </c>
      <c r="C218" s="294"/>
      <c r="D218" s="299"/>
      <c r="E218" s="294"/>
      <c r="F218" s="299"/>
      <c r="G218" s="294"/>
      <c r="H218" s="299"/>
    </row>
    <row r="219" spans="1:8" s="1" customFormat="1" ht="14.25">
      <c r="A219" s="34" t="s">
        <v>300</v>
      </c>
      <c r="B219" s="265">
        <v>30</v>
      </c>
      <c r="C219" s="294"/>
      <c r="D219" s="299"/>
      <c r="E219" s="294"/>
      <c r="F219" s="299"/>
      <c r="G219" s="294"/>
      <c r="H219" s="299"/>
    </row>
    <row r="220" spans="1:8" s="1" customFormat="1" ht="14.25">
      <c r="A220" s="34" t="s">
        <v>301</v>
      </c>
      <c r="B220" s="265">
        <v>20</v>
      </c>
      <c r="C220" s="294"/>
      <c r="D220" s="299"/>
      <c r="E220" s="294"/>
      <c r="F220" s="299"/>
      <c r="G220" s="294"/>
      <c r="H220" s="299"/>
    </row>
    <row r="221" spans="1:8" s="1" customFormat="1" ht="47.25" customHeight="1">
      <c r="A221" s="34" t="s">
        <v>302</v>
      </c>
      <c r="B221" s="265" t="s">
        <v>131</v>
      </c>
      <c r="C221" s="294"/>
      <c r="D221" s="299"/>
      <c r="E221" s="294"/>
      <c r="F221" s="299"/>
      <c r="G221" s="294"/>
      <c r="H221" s="299"/>
    </row>
    <row r="222" spans="1:8" s="1" customFormat="1" ht="14.25">
      <c r="A222" s="55"/>
      <c r="B222" s="269"/>
      <c r="C222" s="68"/>
      <c r="D222" s="143"/>
      <c r="E222" s="68"/>
      <c r="F222" s="143"/>
      <c r="G222" s="68"/>
      <c r="H222" s="143"/>
    </row>
    <row r="223" spans="1:8" s="1" customFormat="1" ht="15">
      <c r="A223" s="41" t="s">
        <v>303</v>
      </c>
      <c r="B223" s="263"/>
      <c r="C223" s="254"/>
      <c r="D223" s="300"/>
      <c r="E223" s="254"/>
      <c r="F223" s="300"/>
      <c r="G223" s="254"/>
      <c r="H223" s="300"/>
    </row>
    <row r="224" spans="1:8" s="1" customFormat="1" ht="15">
      <c r="A224" s="256" t="s">
        <v>8</v>
      </c>
      <c r="B224" s="266" t="s">
        <v>2</v>
      </c>
      <c r="C224" s="295"/>
      <c r="D224" s="301"/>
      <c r="E224" s="295"/>
      <c r="F224" s="301"/>
      <c r="G224" s="295"/>
      <c r="H224" s="301"/>
    </row>
    <row r="225" spans="1:8" s="1" customFormat="1" ht="14.25">
      <c r="A225" s="34" t="s">
        <v>9</v>
      </c>
      <c r="B225" s="265">
        <v>75</v>
      </c>
      <c r="C225" s="74" t="s">
        <v>383</v>
      </c>
      <c r="D225" s="299">
        <v>75</v>
      </c>
      <c r="E225" s="74" t="s">
        <v>383</v>
      </c>
      <c r="F225" s="299">
        <v>75</v>
      </c>
      <c r="G225" s="74" t="s">
        <v>383</v>
      </c>
      <c r="H225" s="299">
        <v>75</v>
      </c>
    </row>
    <row r="226" spans="1:8" s="1" customFormat="1" ht="14.25">
      <c r="A226" s="34" t="s">
        <v>73</v>
      </c>
      <c r="B226" s="265">
        <v>50</v>
      </c>
      <c r="C226" s="294"/>
      <c r="D226" s="299"/>
      <c r="E226" s="294"/>
      <c r="F226" s="299"/>
      <c r="G226" s="294"/>
      <c r="H226" s="299"/>
    </row>
    <row r="227" spans="1:8" s="1" customFormat="1" ht="14.25">
      <c r="A227" s="34" t="s">
        <v>64</v>
      </c>
      <c r="B227" s="265">
        <v>30</v>
      </c>
      <c r="C227" s="294"/>
      <c r="D227" s="299"/>
      <c r="E227" s="294"/>
      <c r="F227" s="299"/>
      <c r="G227" s="294"/>
      <c r="H227" s="299"/>
    </row>
    <row r="228" spans="1:8" s="1" customFormat="1" ht="45.75" customHeight="1">
      <c r="A228" s="34" t="s">
        <v>46</v>
      </c>
      <c r="B228" s="265" t="s">
        <v>131</v>
      </c>
      <c r="C228" s="294"/>
      <c r="D228" s="299"/>
      <c r="E228" s="294"/>
      <c r="F228" s="299"/>
      <c r="G228" s="294"/>
      <c r="H228" s="299"/>
    </row>
    <row r="229" spans="1:8" s="1" customFormat="1" ht="15" customHeight="1">
      <c r="A229" s="267" t="s">
        <v>304</v>
      </c>
      <c r="B229" s="268"/>
      <c r="C229" s="289"/>
      <c r="D229" s="302"/>
      <c r="E229" s="289"/>
      <c r="F229" s="302"/>
      <c r="G229" s="289"/>
      <c r="H229" s="302"/>
    </row>
    <row r="230" spans="1:8" s="1" customFormat="1" ht="15" customHeight="1">
      <c r="A230" s="41" t="s">
        <v>305</v>
      </c>
      <c r="B230" s="263"/>
      <c r="C230" s="254"/>
      <c r="D230" s="300"/>
      <c r="E230" s="254"/>
      <c r="F230" s="300"/>
      <c r="G230" s="254"/>
      <c r="H230" s="300"/>
    </row>
    <row r="231" spans="1:8" s="1" customFormat="1" ht="15">
      <c r="A231" s="256" t="s">
        <v>8</v>
      </c>
      <c r="B231" s="266" t="s">
        <v>2</v>
      </c>
      <c r="C231" s="295"/>
      <c r="D231" s="301"/>
      <c r="E231" s="295"/>
      <c r="F231" s="301"/>
      <c r="G231" s="295"/>
      <c r="H231" s="301"/>
    </row>
    <row r="232" spans="1:8" s="1" customFormat="1" ht="14.25">
      <c r="A232" s="34" t="s">
        <v>9</v>
      </c>
      <c r="B232" s="265">
        <v>75</v>
      </c>
      <c r="C232" s="74" t="s">
        <v>383</v>
      </c>
      <c r="D232" s="299">
        <v>75</v>
      </c>
      <c r="E232" s="74" t="s">
        <v>383</v>
      </c>
      <c r="F232" s="299">
        <v>75</v>
      </c>
      <c r="G232" s="74" t="s">
        <v>383</v>
      </c>
      <c r="H232" s="299">
        <v>75</v>
      </c>
    </row>
    <row r="233" spans="1:8" s="1" customFormat="1" ht="14.25">
      <c r="A233" s="34" t="s">
        <v>298</v>
      </c>
      <c r="B233" s="265">
        <v>50</v>
      </c>
      <c r="C233" s="294"/>
      <c r="D233" s="299"/>
      <c r="E233" s="294"/>
      <c r="F233" s="299"/>
      <c r="G233" s="294"/>
      <c r="H233" s="299"/>
    </row>
    <row r="234" spans="1:8" s="1" customFormat="1" ht="14.25">
      <c r="A234" s="34" t="s">
        <v>299</v>
      </c>
      <c r="B234" s="265">
        <v>40</v>
      </c>
      <c r="C234" s="294"/>
      <c r="D234" s="299"/>
      <c r="E234" s="294"/>
      <c r="F234" s="299"/>
      <c r="G234" s="294"/>
      <c r="H234" s="299"/>
    </row>
    <row r="235" spans="1:8" s="1" customFormat="1" ht="14.25">
      <c r="A235" s="34" t="s">
        <v>300</v>
      </c>
      <c r="B235" s="265">
        <v>30</v>
      </c>
      <c r="C235" s="294"/>
      <c r="D235" s="299"/>
      <c r="E235" s="294"/>
      <c r="F235" s="299"/>
      <c r="G235" s="294"/>
      <c r="H235" s="299"/>
    </row>
    <row r="236" spans="1:8" s="1" customFormat="1" ht="14.25">
      <c r="A236" s="34" t="s">
        <v>301</v>
      </c>
      <c r="B236" s="265">
        <v>20</v>
      </c>
      <c r="C236" s="294"/>
      <c r="D236" s="299"/>
      <c r="E236" s="294"/>
      <c r="F236" s="299"/>
      <c r="G236" s="294"/>
      <c r="H236" s="299"/>
    </row>
    <row r="237" spans="1:8" s="1" customFormat="1" ht="47.25" customHeight="1">
      <c r="A237" s="34" t="s">
        <v>302</v>
      </c>
      <c r="B237" s="265" t="s">
        <v>131</v>
      </c>
      <c r="C237" s="294"/>
      <c r="D237" s="299"/>
      <c r="E237" s="294"/>
      <c r="F237" s="299"/>
      <c r="G237" s="294"/>
      <c r="H237" s="299"/>
    </row>
    <row r="238" spans="1:8" s="1" customFormat="1" ht="14.25">
      <c r="A238" s="55"/>
      <c r="B238" s="269"/>
      <c r="C238" s="68"/>
      <c r="D238" s="143"/>
      <c r="E238" s="68"/>
      <c r="F238" s="143"/>
      <c r="G238" s="68"/>
      <c r="H238" s="143"/>
    </row>
    <row r="239" spans="1:8" s="1" customFormat="1" ht="15">
      <c r="A239" s="41" t="s">
        <v>303</v>
      </c>
      <c r="B239" s="263"/>
      <c r="C239" s="254"/>
      <c r="D239" s="300"/>
      <c r="E239" s="254"/>
      <c r="F239" s="300"/>
      <c r="G239" s="254"/>
      <c r="H239" s="300"/>
    </row>
    <row r="240" spans="1:8" s="1" customFormat="1" ht="15">
      <c r="A240" s="256" t="s">
        <v>8</v>
      </c>
      <c r="B240" s="266" t="s">
        <v>2</v>
      </c>
      <c r="C240" s="295"/>
      <c r="D240" s="301"/>
      <c r="E240" s="295"/>
      <c r="F240" s="301"/>
      <c r="G240" s="295"/>
      <c r="H240" s="301"/>
    </row>
    <row r="241" spans="1:8" s="1" customFormat="1" ht="14.25">
      <c r="A241" s="34" t="s">
        <v>9</v>
      </c>
      <c r="B241" s="265">
        <v>75</v>
      </c>
      <c r="C241" s="74" t="s">
        <v>383</v>
      </c>
      <c r="D241" s="299">
        <v>75</v>
      </c>
      <c r="E241" s="74" t="s">
        <v>383</v>
      </c>
      <c r="F241" s="299">
        <v>75</v>
      </c>
      <c r="G241" s="74" t="s">
        <v>383</v>
      </c>
      <c r="H241" s="299">
        <v>75</v>
      </c>
    </row>
    <row r="242" spans="1:8" s="1" customFormat="1" ht="14.25">
      <c r="A242" s="34" t="s">
        <v>73</v>
      </c>
      <c r="B242" s="265">
        <v>50</v>
      </c>
      <c r="C242" s="294"/>
      <c r="D242" s="299"/>
      <c r="E242" s="294"/>
      <c r="F242" s="299"/>
      <c r="G242" s="294"/>
      <c r="H242" s="299"/>
    </row>
    <row r="243" spans="1:8" s="1" customFormat="1" ht="14.25">
      <c r="A243" s="34" t="s">
        <v>64</v>
      </c>
      <c r="B243" s="265">
        <v>30</v>
      </c>
      <c r="C243" s="294"/>
      <c r="D243" s="299"/>
      <c r="E243" s="294"/>
      <c r="F243" s="299"/>
      <c r="G243" s="294"/>
      <c r="H243" s="299"/>
    </row>
    <row r="244" spans="1:8" s="1" customFormat="1" ht="45.75" customHeight="1">
      <c r="A244" s="34" t="s">
        <v>46</v>
      </c>
      <c r="B244" s="265" t="s">
        <v>131</v>
      </c>
      <c r="C244" s="294"/>
      <c r="D244" s="299"/>
      <c r="E244" s="294"/>
      <c r="F244" s="299"/>
      <c r="G244" s="294"/>
      <c r="H244" s="299"/>
    </row>
    <row r="245" spans="1:8" s="298" customFormat="1" ht="19.5" customHeight="1">
      <c r="A245" s="296" t="s">
        <v>316</v>
      </c>
      <c r="B245" s="297"/>
      <c r="C245" s="287"/>
      <c r="D245" s="303">
        <f>SUM(D214:D244)</f>
        <v>300</v>
      </c>
      <c r="E245" s="287"/>
      <c r="F245" s="303">
        <f>SUM(F214:F244)</f>
        <v>300</v>
      </c>
      <c r="G245" s="287"/>
      <c r="H245" s="303">
        <f>SUM(H214:H244)</f>
        <v>300</v>
      </c>
    </row>
    <row r="246" spans="1:8" s="1" customFormat="1" ht="10.5" customHeight="1">
      <c r="A246" s="257"/>
      <c r="B246" s="258"/>
      <c r="C246" s="259"/>
      <c r="D246" s="259"/>
      <c r="E246" s="259"/>
      <c r="F246" s="259"/>
      <c r="G246" s="259"/>
      <c r="H246" s="259"/>
    </row>
    <row r="247" spans="1:8" ht="47.25" customHeight="1">
      <c r="A247" s="355" t="s">
        <v>211</v>
      </c>
      <c r="B247" s="355"/>
      <c r="C247" s="355"/>
      <c r="D247" s="355"/>
      <c r="E247" s="355"/>
      <c r="F247" s="355"/>
      <c r="G247" s="355"/>
      <c r="H247" s="355"/>
    </row>
    <row r="249" spans="1:8" ht="18">
      <c r="A249" s="84" t="s">
        <v>3</v>
      </c>
      <c r="B249" s="85"/>
      <c r="C249" s="373" t="s">
        <v>162</v>
      </c>
      <c r="D249" s="374"/>
      <c r="E249" s="374"/>
      <c r="F249" s="374"/>
      <c r="G249" s="374"/>
      <c r="H249" s="374"/>
    </row>
    <row r="250" spans="1:8" ht="54">
      <c r="A250" s="361" t="s">
        <v>249</v>
      </c>
      <c r="B250" s="362"/>
      <c r="C250" s="130" t="s">
        <v>330</v>
      </c>
      <c r="D250" s="130" t="s">
        <v>2</v>
      </c>
      <c r="E250" s="130" t="s">
        <v>331</v>
      </c>
      <c r="F250" s="130" t="s">
        <v>2</v>
      </c>
      <c r="G250" s="130" t="s">
        <v>332</v>
      </c>
      <c r="H250" s="130" t="s">
        <v>2</v>
      </c>
    </row>
    <row r="251" spans="1:8" ht="15" customHeight="1">
      <c r="A251" s="363" t="s">
        <v>86</v>
      </c>
      <c r="B251" s="364"/>
      <c r="C251" s="75"/>
      <c r="D251" s="75"/>
      <c r="E251" s="75"/>
      <c r="F251" s="75"/>
      <c r="G251" s="75"/>
      <c r="H251" s="75"/>
    </row>
    <row r="252" spans="1:8" ht="15" customHeight="1">
      <c r="A252" s="366" t="s">
        <v>7</v>
      </c>
      <c r="B252" s="367"/>
      <c r="C252" s="76"/>
      <c r="D252" s="76"/>
      <c r="E252" s="76"/>
      <c r="F252" s="76"/>
      <c r="G252" s="76"/>
      <c r="H252" s="76"/>
    </row>
    <row r="253" spans="1:8" ht="39" customHeight="1">
      <c r="A253" s="359" t="s">
        <v>248</v>
      </c>
      <c r="B253" s="360"/>
      <c r="C253" s="76"/>
      <c r="D253" s="76"/>
      <c r="E253" s="76"/>
      <c r="F253" s="76"/>
      <c r="G253" s="76"/>
      <c r="H253" s="76"/>
    </row>
    <row r="254" spans="1:8" ht="15" customHeight="1">
      <c r="A254" s="45" t="s">
        <v>8</v>
      </c>
      <c r="B254" s="46" t="s">
        <v>2</v>
      </c>
      <c r="C254" s="148"/>
      <c r="D254" s="148"/>
      <c r="E254" s="148"/>
      <c r="F254" s="148"/>
      <c r="G254" s="148"/>
      <c r="H254" s="148"/>
    </row>
    <row r="255" spans="1:8" ht="15">
      <c r="A255" s="47" t="s">
        <v>9</v>
      </c>
      <c r="B255" s="48">
        <v>150</v>
      </c>
      <c r="C255" s="148"/>
      <c r="D255" s="148"/>
      <c r="E255" s="148"/>
      <c r="F255" s="148"/>
      <c r="G255" s="148"/>
      <c r="H255" s="148"/>
    </row>
    <row r="256" spans="1:8" ht="15">
      <c r="A256" s="47" t="s">
        <v>87</v>
      </c>
      <c r="B256" s="48">
        <v>100</v>
      </c>
      <c r="C256" s="148" t="s">
        <v>384</v>
      </c>
      <c r="D256" s="149">
        <f>100*20/50</f>
        <v>40</v>
      </c>
      <c r="E256" s="148" t="s">
        <v>419</v>
      </c>
      <c r="F256" s="149">
        <f>100*20/40</f>
        <v>50</v>
      </c>
      <c r="G256" s="148" t="s">
        <v>385</v>
      </c>
      <c r="H256" s="149">
        <v>100</v>
      </c>
    </row>
    <row r="257" spans="1:8" ht="15">
      <c r="A257" s="47" t="s">
        <v>88</v>
      </c>
      <c r="B257" s="48">
        <v>50</v>
      </c>
      <c r="C257" s="148"/>
      <c r="D257" s="148"/>
      <c r="E257" s="148"/>
      <c r="F257" s="148"/>
      <c r="G257" s="148"/>
      <c r="H257" s="148"/>
    </row>
    <row r="258" spans="1:8" s="154" customFormat="1" ht="18">
      <c r="A258" s="47" t="s">
        <v>89</v>
      </c>
      <c r="B258" s="48">
        <v>30</v>
      </c>
      <c r="C258" s="148"/>
      <c r="D258" s="148"/>
      <c r="E258" s="148"/>
      <c r="F258" s="148"/>
      <c r="G258" s="148"/>
      <c r="H258" s="148"/>
    </row>
    <row r="259" spans="1:8" ht="28.5">
      <c r="A259" s="47" t="s">
        <v>90</v>
      </c>
      <c r="B259" s="19" t="s">
        <v>91</v>
      </c>
      <c r="C259" s="148"/>
      <c r="D259" s="148"/>
      <c r="E259" s="148"/>
      <c r="F259" s="148"/>
      <c r="G259" s="148"/>
      <c r="H259" s="148"/>
    </row>
    <row r="260" spans="1:8" ht="15">
      <c r="A260" s="45" t="s">
        <v>92</v>
      </c>
      <c r="B260" s="46" t="s">
        <v>2</v>
      </c>
      <c r="C260" s="148"/>
      <c r="D260" s="148"/>
      <c r="E260" s="148"/>
      <c r="F260" s="148"/>
      <c r="G260" s="148"/>
      <c r="H260" s="148"/>
    </row>
    <row r="261" spans="1:8" ht="15">
      <c r="A261" s="47" t="s">
        <v>9</v>
      </c>
      <c r="B261" s="48">
        <v>150</v>
      </c>
      <c r="C261" s="148"/>
      <c r="D261" s="149"/>
      <c r="E261" s="148"/>
      <c r="F261" s="149"/>
      <c r="G261" s="148"/>
      <c r="H261" s="149"/>
    </row>
    <row r="262" spans="1:8" ht="15">
      <c r="A262" s="47" t="s">
        <v>93</v>
      </c>
      <c r="B262" s="48">
        <v>20</v>
      </c>
      <c r="C262" s="148" t="s">
        <v>385</v>
      </c>
      <c r="D262" s="149">
        <f>20*19.99/20</f>
        <v>19.99</v>
      </c>
      <c r="E262" s="148" t="s">
        <v>420</v>
      </c>
      <c r="F262" s="149">
        <v>20</v>
      </c>
      <c r="G262" s="148" t="s">
        <v>385</v>
      </c>
      <c r="H262" s="149">
        <f>20*19.99/20</f>
        <v>19.99</v>
      </c>
    </row>
    <row r="263" spans="1:8" s="1" customFormat="1" ht="28.5">
      <c r="A263" s="47" t="s">
        <v>94</v>
      </c>
      <c r="B263" s="19" t="s">
        <v>91</v>
      </c>
      <c r="C263" s="148"/>
      <c r="D263" s="148"/>
      <c r="E263" s="148"/>
      <c r="F263" s="148"/>
      <c r="G263" s="148"/>
      <c r="H263" s="148"/>
    </row>
    <row r="264" spans="1:8" s="1" customFormat="1" ht="22.5" customHeight="1">
      <c r="A264" s="150" t="s">
        <v>165</v>
      </c>
      <c r="B264" s="151"/>
      <c r="C264" s="152"/>
      <c r="D264" s="153">
        <f>SUM(D251:D263)</f>
        <v>59.989999999999995</v>
      </c>
      <c r="E264" s="152"/>
      <c r="F264" s="153">
        <f>SUM(F251:F263)</f>
        <v>70</v>
      </c>
      <c r="G264" s="152"/>
      <c r="H264" s="153">
        <f>SUM(H251:H263)</f>
        <v>119.99</v>
      </c>
    </row>
    <row r="267" spans="1:8" ht="52.5" customHeight="1">
      <c r="A267" s="355" t="s">
        <v>212</v>
      </c>
      <c r="B267" s="355"/>
      <c r="C267" s="355"/>
      <c r="D267" s="355"/>
      <c r="E267" s="355"/>
      <c r="F267" s="355"/>
      <c r="G267" s="355"/>
      <c r="H267" s="355"/>
    </row>
    <row r="269" spans="1:8" s="1" customFormat="1" ht="15">
      <c r="A269" s="26" t="s">
        <v>3</v>
      </c>
      <c r="B269" s="42"/>
      <c r="C269" s="42"/>
      <c r="D269" s="186"/>
      <c r="E269" s="42"/>
      <c r="F269" s="186"/>
      <c r="G269" s="42"/>
      <c r="H269" s="186"/>
    </row>
    <row r="270" spans="1:8" s="1" customFormat="1" ht="43.5" customHeight="1">
      <c r="A270" s="356" t="s">
        <v>51</v>
      </c>
      <c r="B270" s="357"/>
      <c r="C270" s="357"/>
      <c r="D270" s="357"/>
      <c r="E270" s="357"/>
      <c r="F270" s="357"/>
      <c r="G270" s="357"/>
      <c r="H270" s="358"/>
    </row>
    <row r="273" spans="1:8" ht="72" customHeight="1">
      <c r="A273" s="355" t="s">
        <v>213</v>
      </c>
      <c r="B273" s="355"/>
      <c r="C273" s="355"/>
      <c r="D273" s="355"/>
      <c r="E273" s="355"/>
      <c r="F273" s="355"/>
      <c r="G273" s="355"/>
      <c r="H273" s="355"/>
    </row>
    <row r="275" spans="1:8" ht="15">
      <c r="A275" s="26" t="s">
        <v>3</v>
      </c>
      <c r="B275" s="42"/>
      <c r="C275" s="42"/>
      <c r="D275" s="186"/>
      <c r="E275" s="42"/>
      <c r="F275" s="186"/>
      <c r="G275" s="42"/>
      <c r="H275" s="186"/>
    </row>
    <row r="276" spans="1:8" ht="42.75" customHeight="1">
      <c r="A276" s="356" t="s">
        <v>51</v>
      </c>
      <c r="B276" s="357"/>
      <c r="C276" s="357"/>
      <c r="D276" s="357"/>
      <c r="E276" s="357"/>
      <c r="F276" s="357"/>
      <c r="G276" s="357"/>
      <c r="H276" s="358"/>
    </row>
  </sheetData>
  <sheetProtection/>
  <mergeCells count="50">
    <mergeCell ref="A75:B75"/>
    <mergeCell ref="A61:B61"/>
    <mergeCell ref="A60:B60"/>
    <mergeCell ref="A128:B128"/>
    <mergeCell ref="A54:B54"/>
    <mergeCell ref="C122:H122"/>
    <mergeCell ref="A110:B110"/>
    <mergeCell ref="A103:B103"/>
    <mergeCell ref="A102:B102"/>
    <mergeCell ref="A96:B96"/>
    <mergeCell ref="C6:H6"/>
    <mergeCell ref="A89:B89"/>
    <mergeCell ref="A88:B88"/>
    <mergeCell ref="A17:B17"/>
    <mergeCell ref="A82:B82"/>
    <mergeCell ref="A47:B47"/>
    <mergeCell ref="A46:B46"/>
    <mergeCell ref="A38:B38"/>
    <mergeCell ref="A37:B37"/>
    <mergeCell ref="A74:B74"/>
    <mergeCell ref="A68:B68"/>
    <mergeCell ref="A3:H3"/>
    <mergeCell ref="A122:B122"/>
    <mergeCell ref="A153:B153"/>
    <mergeCell ref="A177:B177"/>
    <mergeCell ref="A185:B185"/>
    <mergeCell ref="A16:B16"/>
    <mergeCell ref="A6:B6"/>
    <mergeCell ref="A7:B7"/>
    <mergeCell ref="A119:H119"/>
    <mergeCell ref="A129:B129"/>
    <mergeCell ref="A276:H276"/>
    <mergeCell ref="A252:B252"/>
    <mergeCell ref="A186:B186"/>
    <mergeCell ref="A168:B168"/>
    <mergeCell ref="A195:B195"/>
    <mergeCell ref="A164:B164"/>
    <mergeCell ref="C164:H164"/>
    <mergeCell ref="C249:H249"/>
    <mergeCell ref="A205:H205"/>
    <mergeCell ref="A144:B144"/>
    <mergeCell ref="A162:H162"/>
    <mergeCell ref="A247:H247"/>
    <mergeCell ref="A267:H267"/>
    <mergeCell ref="A270:H270"/>
    <mergeCell ref="A273:H273"/>
    <mergeCell ref="A253:B253"/>
    <mergeCell ref="A250:B250"/>
    <mergeCell ref="A251:B251"/>
    <mergeCell ref="A167:B167"/>
  </mergeCells>
  <printOptions horizontalCentered="1" verticalCentered="1"/>
  <pageMargins left="0.31496062992125984" right="0.31496062992125984" top="0.7480314960629921" bottom="0.7480314960629921" header="0.31496062992125984" footer="0.31496062992125984"/>
  <pageSetup orientation="landscape" scale="55" r:id="rId1"/>
</worksheet>
</file>

<file path=xl/worksheets/sheet5.xml><?xml version="1.0" encoding="utf-8"?>
<worksheet xmlns="http://schemas.openxmlformats.org/spreadsheetml/2006/main" xmlns:r="http://schemas.openxmlformats.org/officeDocument/2006/relationships">
  <dimension ref="A1:J145"/>
  <sheetViews>
    <sheetView zoomScale="69" zoomScaleNormal="69" zoomScalePageLayoutView="0" workbookViewId="0" topLeftCell="B4">
      <selection activeCell="H6" sqref="H6"/>
    </sheetView>
  </sheetViews>
  <sheetFormatPr defaultColWidth="11.421875" defaultRowHeight="15"/>
  <cols>
    <col min="1" max="1" width="90.140625" style="7" customWidth="1"/>
    <col min="2" max="2" width="25.140625" style="7" customWidth="1"/>
    <col min="3" max="3" width="44.28125" style="7" customWidth="1"/>
    <col min="4" max="4" width="15.57421875" style="7" customWidth="1"/>
    <col min="5" max="5" width="44.28125" style="7" customWidth="1"/>
    <col min="6" max="6" width="15.57421875" style="7" customWidth="1"/>
    <col min="7" max="7" width="52.421875" style="7" customWidth="1"/>
    <col min="8" max="8" width="15.57421875" style="7" customWidth="1"/>
    <col min="9" max="16384" width="11.421875" style="7" customWidth="1"/>
  </cols>
  <sheetData>
    <row r="1" spans="1:8" ht="51" customHeight="1">
      <c r="A1" s="388" t="s">
        <v>152</v>
      </c>
      <c r="B1" s="388"/>
      <c r="C1" s="388"/>
      <c r="D1" s="388"/>
      <c r="E1" s="388"/>
      <c r="F1" s="388"/>
      <c r="G1" s="388"/>
      <c r="H1" s="388"/>
    </row>
    <row r="2" spans="1:8" ht="24.75" customHeight="1">
      <c r="A2" s="389" t="s">
        <v>5</v>
      </c>
      <c r="B2" s="389"/>
      <c r="C2" s="389"/>
      <c r="D2" s="389"/>
      <c r="E2" s="389"/>
      <c r="F2" s="389"/>
      <c r="G2" s="389"/>
      <c r="H2" s="389"/>
    </row>
    <row r="3" spans="1:8" ht="18">
      <c r="A3" s="390" t="s">
        <v>1</v>
      </c>
      <c r="B3" s="390" t="s">
        <v>2</v>
      </c>
      <c r="C3" s="373" t="s">
        <v>232</v>
      </c>
      <c r="D3" s="374"/>
      <c r="E3" s="374"/>
      <c r="F3" s="374"/>
      <c r="G3" s="374"/>
      <c r="H3" s="374"/>
    </row>
    <row r="4" spans="1:8" s="129" customFormat="1" ht="54">
      <c r="A4" s="391"/>
      <c r="B4" s="391"/>
      <c r="C4" s="130" t="s">
        <v>330</v>
      </c>
      <c r="D4" s="130" t="s">
        <v>2</v>
      </c>
      <c r="E4" s="130" t="s">
        <v>331</v>
      </c>
      <c r="F4" s="130" t="s">
        <v>2</v>
      </c>
      <c r="G4" s="130" t="s">
        <v>332</v>
      </c>
      <c r="H4" s="130" t="s">
        <v>2</v>
      </c>
    </row>
    <row r="5" spans="1:8" s="12" customFormat="1" ht="49.5" customHeight="1">
      <c r="A5" s="240" t="s">
        <v>260</v>
      </c>
      <c r="B5" s="241">
        <v>25</v>
      </c>
      <c r="C5" s="189" t="s">
        <v>333</v>
      </c>
      <c r="D5" s="190">
        <f>25*9/14</f>
        <v>16.071428571428573</v>
      </c>
      <c r="E5" s="189" t="s">
        <v>340</v>
      </c>
      <c r="F5" s="190">
        <f>25*5/14</f>
        <v>8.928571428571429</v>
      </c>
      <c r="G5" s="189" t="s">
        <v>346</v>
      </c>
      <c r="H5" s="190">
        <v>25</v>
      </c>
    </row>
    <row r="6" spans="1:8" ht="107.25">
      <c r="A6" s="240" t="s">
        <v>261</v>
      </c>
      <c r="B6" s="241">
        <v>25</v>
      </c>
      <c r="C6" s="189" t="s">
        <v>334</v>
      </c>
      <c r="D6" s="190">
        <f>25*16/20</f>
        <v>20</v>
      </c>
      <c r="E6" s="189" t="s">
        <v>341</v>
      </c>
      <c r="F6" s="190">
        <f>25*16/20</f>
        <v>20</v>
      </c>
      <c r="G6" s="189" t="s">
        <v>347</v>
      </c>
      <c r="H6" s="190">
        <v>25</v>
      </c>
    </row>
    <row r="7" spans="1:8" ht="103.5" customHeight="1">
      <c r="A7" s="240" t="s">
        <v>262</v>
      </c>
      <c r="B7" s="241">
        <v>40</v>
      </c>
      <c r="C7" s="189" t="s">
        <v>335</v>
      </c>
      <c r="D7" s="190">
        <v>40</v>
      </c>
      <c r="E7" s="189" t="s">
        <v>342</v>
      </c>
      <c r="F7" s="190">
        <f>40*7/10</f>
        <v>28</v>
      </c>
      <c r="G7" s="189" t="s">
        <v>348</v>
      </c>
      <c r="H7" s="190">
        <v>40</v>
      </c>
    </row>
    <row r="8" spans="1:8" s="13" customFormat="1" ht="48.75" customHeight="1">
      <c r="A8" s="242" t="s">
        <v>263</v>
      </c>
      <c r="B8" s="241">
        <v>20</v>
      </c>
      <c r="C8" s="191" t="s">
        <v>336</v>
      </c>
      <c r="D8" s="285">
        <v>20</v>
      </c>
      <c r="E8" s="191" t="s">
        <v>336</v>
      </c>
      <c r="F8" s="285">
        <v>20</v>
      </c>
      <c r="G8" s="191" t="s">
        <v>336</v>
      </c>
      <c r="H8" s="285">
        <v>20</v>
      </c>
    </row>
    <row r="9" spans="1:8" s="13" customFormat="1" ht="140.25" customHeight="1">
      <c r="A9" s="242" t="s">
        <v>264</v>
      </c>
      <c r="B9" s="241">
        <v>30</v>
      </c>
      <c r="C9" s="191" t="s">
        <v>336</v>
      </c>
      <c r="D9" s="285">
        <v>30</v>
      </c>
      <c r="E9" s="191" t="s">
        <v>336</v>
      </c>
      <c r="F9" s="285">
        <v>30</v>
      </c>
      <c r="G9" s="191" t="s">
        <v>336</v>
      </c>
      <c r="H9" s="285">
        <v>30</v>
      </c>
    </row>
    <row r="10" spans="1:10" s="1" customFormat="1" ht="61.5">
      <c r="A10" s="243" t="s">
        <v>265</v>
      </c>
      <c r="B10" s="241">
        <v>20</v>
      </c>
      <c r="C10" s="189" t="s">
        <v>343</v>
      </c>
      <c r="D10" s="271">
        <f>10+(10*20/50)</f>
        <v>14</v>
      </c>
      <c r="E10" s="189" t="s">
        <v>460</v>
      </c>
      <c r="F10" s="271">
        <f>(10*5/50)+(10*15/180)</f>
        <v>1.8333333333333335</v>
      </c>
      <c r="G10" s="189" t="s">
        <v>459</v>
      </c>
      <c r="H10" s="277">
        <f>10+(10*90/180)</f>
        <v>15</v>
      </c>
      <c r="I10" s="4"/>
      <c r="J10" s="4"/>
    </row>
    <row r="11" spans="1:10" s="1" customFormat="1" ht="57.75" customHeight="1">
      <c r="A11" s="244" t="s">
        <v>266</v>
      </c>
      <c r="B11" s="241">
        <v>20</v>
      </c>
      <c r="C11" s="189" t="s">
        <v>337</v>
      </c>
      <c r="D11" s="206">
        <v>20</v>
      </c>
      <c r="E11" s="189" t="s">
        <v>344</v>
      </c>
      <c r="F11" s="206">
        <f>20*23805327942/90221311771</f>
        <v>5.277096392130222</v>
      </c>
      <c r="G11" s="189" t="s">
        <v>349</v>
      </c>
      <c r="H11" s="206">
        <f>20*12000000000/90221311771</f>
        <v>2.6601253660462034</v>
      </c>
      <c r="I11" s="4"/>
      <c r="J11" s="4"/>
    </row>
    <row r="12" spans="1:8" s="51" customFormat="1" ht="45.75">
      <c r="A12" s="245" t="s">
        <v>267</v>
      </c>
      <c r="B12" s="246">
        <v>20</v>
      </c>
      <c r="C12" s="189" t="s">
        <v>338</v>
      </c>
      <c r="D12" s="271">
        <v>10</v>
      </c>
      <c r="E12" s="246" t="s">
        <v>345</v>
      </c>
      <c r="F12" s="271">
        <v>0</v>
      </c>
      <c r="G12" s="246" t="s">
        <v>350</v>
      </c>
      <c r="H12" s="277">
        <v>10</v>
      </c>
    </row>
    <row r="13" spans="1:8" s="51" customFormat="1" ht="60" customHeight="1">
      <c r="A13" s="247" t="s">
        <v>268</v>
      </c>
      <c r="B13" s="248">
        <v>20</v>
      </c>
      <c r="C13" s="191" t="s">
        <v>336</v>
      </c>
      <c r="D13" s="271">
        <v>20</v>
      </c>
      <c r="E13" s="191" t="s">
        <v>336</v>
      </c>
      <c r="F13" s="271">
        <v>20</v>
      </c>
      <c r="G13" s="191" t="s">
        <v>336</v>
      </c>
      <c r="H13" s="271">
        <v>20</v>
      </c>
    </row>
    <row r="14" spans="1:8" s="51" customFormat="1" ht="60" customHeight="1">
      <c r="A14" s="249" t="s">
        <v>269</v>
      </c>
      <c r="B14" s="248">
        <v>20</v>
      </c>
      <c r="C14" s="191" t="s">
        <v>336</v>
      </c>
      <c r="D14" s="271">
        <v>20</v>
      </c>
      <c r="E14" s="191" t="s">
        <v>336</v>
      </c>
      <c r="F14" s="271">
        <v>20</v>
      </c>
      <c r="G14" s="191" t="s">
        <v>336</v>
      </c>
      <c r="H14" s="277">
        <v>20</v>
      </c>
    </row>
    <row r="15" spans="1:8" s="51" customFormat="1" ht="287.25" customHeight="1">
      <c r="A15" s="250" t="s">
        <v>270</v>
      </c>
      <c r="B15" s="248">
        <v>20</v>
      </c>
      <c r="C15" s="191" t="s">
        <v>336</v>
      </c>
      <c r="D15" s="271">
        <v>20</v>
      </c>
      <c r="E15" s="246" t="s">
        <v>345</v>
      </c>
      <c r="F15" s="286">
        <v>0</v>
      </c>
      <c r="G15" s="191" t="s">
        <v>336</v>
      </c>
      <c r="H15" s="277">
        <v>20</v>
      </c>
    </row>
    <row r="16" spans="1:8" s="54" customFormat="1" ht="180.75">
      <c r="A16" s="250" t="s">
        <v>271</v>
      </c>
      <c r="B16" s="248">
        <v>20</v>
      </c>
      <c r="C16" s="191" t="s">
        <v>336</v>
      </c>
      <c r="D16" s="271">
        <v>20</v>
      </c>
      <c r="E16" s="191" t="s">
        <v>336</v>
      </c>
      <c r="F16" s="271">
        <v>20</v>
      </c>
      <c r="G16" s="191" t="s">
        <v>336</v>
      </c>
      <c r="H16" s="277">
        <v>20</v>
      </c>
    </row>
    <row r="17" spans="1:8" s="54" customFormat="1" ht="106.5">
      <c r="A17" s="250" t="s">
        <v>272</v>
      </c>
      <c r="B17" s="248">
        <v>20</v>
      </c>
      <c r="C17" s="191" t="s">
        <v>336</v>
      </c>
      <c r="D17" s="271">
        <v>20</v>
      </c>
      <c r="E17" s="191" t="s">
        <v>336</v>
      </c>
      <c r="F17" s="271">
        <v>20</v>
      </c>
      <c r="G17" s="191" t="s">
        <v>336</v>
      </c>
      <c r="H17" s="277">
        <v>20</v>
      </c>
    </row>
    <row r="18" spans="1:8" ht="18">
      <c r="A18" s="214" t="s">
        <v>230</v>
      </c>
      <c r="B18" s="215">
        <f>SUM(B5:B17)</f>
        <v>300</v>
      </c>
      <c r="C18" s="130"/>
      <c r="D18" s="139">
        <f>SUM(D5:D17)</f>
        <v>270.07142857142856</v>
      </c>
      <c r="E18" s="304"/>
      <c r="F18" s="139">
        <f>SUM(F5:F17)</f>
        <v>194.03900115403496</v>
      </c>
      <c r="G18" s="130"/>
      <c r="H18" s="139">
        <f>SUM(H5:H17)</f>
        <v>267.6601253660462</v>
      </c>
    </row>
    <row r="120" spans="1:2" ht="14.25">
      <c r="A120" s="22"/>
      <c r="B120" s="22"/>
    </row>
    <row r="121" spans="1:8" s="24" customFormat="1" ht="14.25">
      <c r="A121" s="23"/>
      <c r="C121" s="7"/>
      <c r="D121" s="7"/>
      <c r="E121" s="7"/>
      <c r="F121" s="7"/>
      <c r="G121" s="7"/>
      <c r="H121" s="7"/>
    </row>
    <row r="122" ht="14.25">
      <c r="A122" s="25"/>
    </row>
    <row r="123" spans="1:8" ht="14.25">
      <c r="A123" s="25"/>
      <c r="C123" s="24"/>
      <c r="D123" s="24"/>
      <c r="E123" s="24"/>
      <c r="F123" s="24"/>
      <c r="G123" s="24"/>
      <c r="H123" s="24"/>
    </row>
    <row r="124" ht="14.25">
      <c r="A124" s="25"/>
    </row>
    <row r="125" ht="14.25">
      <c r="A125" s="25"/>
    </row>
    <row r="126" ht="14.25">
      <c r="A126" s="25"/>
    </row>
    <row r="127" ht="14.25">
      <c r="A127" s="25"/>
    </row>
    <row r="128" ht="14.25">
      <c r="A128" s="25"/>
    </row>
    <row r="129" ht="14.25">
      <c r="A129" s="25"/>
    </row>
    <row r="130" ht="14.25">
      <c r="A130" s="25"/>
    </row>
    <row r="131" ht="14.25">
      <c r="A131" s="25"/>
    </row>
    <row r="132" ht="14.25">
      <c r="A132" s="25"/>
    </row>
    <row r="133" ht="14.25">
      <c r="A133" s="25"/>
    </row>
    <row r="134" ht="14.25">
      <c r="A134" s="25"/>
    </row>
    <row r="135" ht="14.25">
      <c r="A135" s="25"/>
    </row>
    <row r="136" ht="14.25">
      <c r="A136" s="25"/>
    </row>
    <row r="137" ht="14.25">
      <c r="A137" s="25"/>
    </row>
    <row r="138" ht="14.25">
      <c r="A138" s="25"/>
    </row>
    <row r="139" ht="14.25">
      <c r="A139" s="25"/>
    </row>
    <row r="140" ht="14.25">
      <c r="A140" s="25"/>
    </row>
    <row r="141" ht="14.25">
      <c r="A141" s="25"/>
    </row>
    <row r="142" ht="14.25">
      <c r="A142" s="25"/>
    </row>
    <row r="143" ht="14.25">
      <c r="A143" s="25"/>
    </row>
    <row r="144" ht="14.25">
      <c r="A144" s="25"/>
    </row>
    <row r="145" ht="14.25">
      <c r="A145" s="25"/>
    </row>
  </sheetData>
  <sheetProtection/>
  <mergeCells count="5">
    <mergeCell ref="A1:H1"/>
    <mergeCell ref="A2:H2"/>
    <mergeCell ref="C3:H3"/>
    <mergeCell ref="A3:A4"/>
    <mergeCell ref="B3:B4"/>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6.xml><?xml version="1.0" encoding="utf-8"?>
<worksheet xmlns="http://schemas.openxmlformats.org/spreadsheetml/2006/main" xmlns:r="http://schemas.openxmlformats.org/officeDocument/2006/relationships">
  <dimension ref="A1:M121"/>
  <sheetViews>
    <sheetView zoomScale="70" zoomScaleNormal="70" zoomScalePageLayoutView="0" workbookViewId="0" topLeftCell="A1">
      <selection activeCell="A1" sqref="A1:K1"/>
    </sheetView>
  </sheetViews>
  <sheetFormatPr defaultColWidth="11.421875" defaultRowHeight="15"/>
  <cols>
    <col min="1" max="1" width="85.7109375" style="1" customWidth="1"/>
    <col min="2" max="5" width="6.140625" style="37" customWidth="1"/>
    <col min="6" max="6" width="42.28125" style="7" customWidth="1"/>
    <col min="7" max="7" width="15.57421875" style="7" customWidth="1"/>
    <col min="8" max="8" width="42.28125" style="7" customWidth="1"/>
    <col min="9" max="9" width="15.57421875" style="7" customWidth="1"/>
    <col min="10" max="10" width="42.28125" style="7" customWidth="1"/>
    <col min="11" max="11" width="15.57421875" style="7" customWidth="1"/>
    <col min="12" max="16384" width="11.421875" style="1" customWidth="1"/>
  </cols>
  <sheetData>
    <row r="1" spans="1:11" ht="50.25" customHeight="1">
      <c r="A1" s="345" t="s">
        <v>153</v>
      </c>
      <c r="B1" s="345"/>
      <c r="C1" s="345"/>
      <c r="D1" s="345"/>
      <c r="E1" s="345"/>
      <c r="F1" s="345"/>
      <c r="G1" s="345"/>
      <c r="H1" s="345"/>
      <c r="I1" s="345"/>
      <c r="J1" s="345"/>
      <c r="K1" s="345"/>
    </row>
    <row r="2" spans="1:11" s="28" customFormat="1" ht="18">
      <c r="A2" s="345" t="s">
        <v>50</v>
      </c>
      <c r="B2" s="345"/>
      <c r="C2" s="345"/>
      <c r="D2" s="345"/>
      <c r="E2" s="345"/>
      <c r="F2" s="345"/>
      <c r="G2" s="345"/>
      <c r="H2" s="345"/>
      <c r="I2" s="345"/>
      <c r="J2" s="345"/>
      <c r="K2" s="345"/>
    </row>
    <row r="3" spans="1:11" ht="15" customHeight="1">
      <c r="A3" s="396" t="s">
        <v>1</v>
      </c>
      <c r="B3" s="398" t="s">
        <v>2</v>
      </c>
      <c r="C3" s="399"/>
      <c r="D3" s="399"/>
      <c r="E3" s="400"/>
      <c r="F3" s="373" t="s">
        <v>232</v>
      </c>
      <c r="G3" s="374"/>
      <c r="H3" s="374"/>
      <c r="I3" s="374"/>
      <c r="J3" s="374"/>
      <c r="K3" s="374"/>
    </row>
    <row r="4" spans="1:11" ht="72">
      <c r="A4" s="397"/>
      <c r="B4" s="401"/>
      <c r="C4" s="402"/>
      <c r="D4" s="402"/>
      <c r="E4" s="403"/>
      <c r="F4" s="130" t="s">
        <v>330</v>
      </c>
      <c r="G4" s="130" t="s">
        <v>2</v>
      </c>
      <c r="H4" s="130" t="s">
        <v>331</v>
      </c>
      <c r="I4" s="130" t="s">
        <v>2</v>
      </c>
      <c r="J4" s="130" t="s">
        <v>332</v>
      </c>
      <c r="K4" s="130" t="s">
        <v>2</v>
      </c>
    </row>
    <row r="5" spans="1:11" ht="66.75" customHeight="1">
      <c r="A5" s="251" t="s">
        <v>273</v>
      </c>
      <c r="B5" s="392">
        <v>50</v>
      </c>
      <c r="C5" s="392"/>
      <c r="D5" s="392"/>
      <c r="E5" s="392"/>
      <c r="F5" s="189" t="s">
        <v>356</v>
      </c>
      <c r="G5" s="188">
        <v>50</v>
      </c>
      <c r="H5" s="189" t="s">
        <v>339</v>
      </c>
      <c r="I5" s="190">
        <f>50*1000/2000</f>
        <v>25</v>
      </c>
      <c r="J5" s="189" t="s">
        <v>421</v>
      </c>
      <c r="K5" s="190">
        <v>50</v>
      </c>
    </row>
    <row r="6" spans="1:11" ht="83.25" customHeight="1">
      <c r="A6" s="251" t="s">
        <v>274</v>
      </c>
      <c r="B6" s="392">
        <v>30</v>
      </c>
      <c r="C6" s="392"/>
      <c r="D6" s="392"/>
      <c r="E6" s="392"/>
      <c r="F6" s="189" t="s">
        <v>357</v>
      </c>
      <c r="G6" s="190">
        <f>(15*15/80)+(15*30/50)</f>
        <v>11.8125</v>
      </c>
      <c r="H6" s="189" t="s">
        <v>388</v>
      </c>
      <c r="I6" s="190">
        <f>(15*6/80)+(15*12/50)</f>
        <v>4.725</v>
      </c>
      <c r="J6" s="189" t="s">
        <v>422</v>
      </c>
      <c r="K6" s="190">
        <v>30</v>
      </c>
    </row>
    <row r="7" spans="1:11" ht="81" customHeight="1">
      <c r="A7" s="251" t="s">
        <v>275</v>
      </c>
      <c r="B7" s="392">
        <v>20</v>
      </c>
      <c r="C7" s="392"/>
      <c r="D7" s="392"/>
      <c r="E7" s="392"/>
      <c r="F7" s="189" t="s">
        <v>359</v>
      </c>
      <c r="G7" s="190">
        <f>(10*15/470)+(10*440/640)</f>
        <v>7.194148936170213</v>
      </c>
      <c r="H7" s="189" t="s">
        <v>386</v>
      </c>
      <c r="I7" s="190">
        <f>(10*12/470)+(10*50/640)</f>
        <v>1.0365691489361701</v>
      </c>
      <c r="J7" s="189" t="s">
        <v>423</v>
      </c>
      <c r="K7" s="190">
        <v>20</v>
      </c>
    </row>
    <row r="8" spans="1:11" ht="60.75" customHeight="1">
      <c r="A8" s="251" t="s">
        <v>276</v>
      </c>
      <c r="B8" s="392">
        <v>20</v>
      </c>
      <c r="C8" s="392"/>
      <c r="D8" s="392"/>
      <c r="E8" s="392"/>
      <c r="F8" s="189" t="s">
        <v>355</v>
      </c>
      <c r="G8" s="192">
        <v>0</v>
      </c>
      <c r="H8" s="189" t="s">
        <v>387</v>
      </c>
      <c r="I8" s="190">
        <f>(10*6/80)+(10*11/50)</f>
        <v>2.95</v>
      </c>
      <c r="J8" s="189" t="s">
        <v>422</v>
      </c>
      <c r="K8" s="190">
        <v>20</v>
      </c>
    </row>
    <row r="9" spans="1:11" ht="67.5" customHeight="1">
      <c r="A9" s="251" t="s">
        <v>277</v>
      </c>
      <c r="B9" s="392">
        <v>20</v>
      </c>
      <c r="C9" s="392"/>
      <c r="D9" s="392"/>
      <c r="E9" s="392"/>
      <c r="F9" s="189" t="s">
        <v>355</v>
      </c>
      <c r="G9" s="192">
        <v>0</v>
      </c>
      <c r="H9" s="189" t="s">
        <v>389</v>
      </c>
      <c r="I9" s="190">
        <f>20*16/45</f>
        <v>7.111111111111111</v>
      </c>
      <c r="J9" s="189" t="s">
        <v>424</v>
      </c>
      <c r="K9" s="190">
        <v>20</v>
      </c>
    </row>
    <row r="10" spans="1:11" ht="48.75" customHeight="1">
      <c r="A10" s="251" t="s">
        <v>278</v>
      </c>
      <c r="B10" s="392">
        <v>20</v>
      </c>
      <c r="C10" s="392"/>
      <c r="D10" s="392"/>
      <c r="E10" s="392"/>
      <c r="F10" s="189" t="s">
        <v>358</v>
      </c>
      <c r="G10" s="271">
        <v>20</v>
      </c>
      <c r="H10" s="189" t="s">
        <v>390</v>
      </c>
      <c r="I10" s="190">
        <f>20*5/90</f>
        <v>1.1111111111111112</v>
      </c>
      <c r="J10" s="189" t="s">
        <v>425</v>
      </c>
      <c r="K10" s="190">
        <f>20*20/90</f>
        <v>4.444444444444445</v>
      </c>
    </row>
    <row r="11" spans="1:11" ht="67.5" customHeight="1">
      <c r="A11" s="251" t="s">
        <v>279</v>
      </c>
      <c r="B11" s="392">
        <v>20</v>
      </c>
      <c r="C11" s="392"/>
      <c r="D11" s="392"/>
      <c r="E11" s="392"/>
      <c r="F11" s="189" t="s">
        <v>360</v>
      </c>
      <c r="G11" s="190">
        <f>(10*40/90)+(10*50/50)</f>
        <v>14.444444444444445</v>
      </c>
      <c r="H11" s="189" t="s">
        <v>391</v>
      </c>
      <c r="I11" s="190">
        <f>(10*6/90)+(10*12/50)</f>
        <v>3.0666666666666664</v>
      </c>
      <c r="J11" s="189" t="s">
        <v>422</v>
      </c>
      <c r="K11" s="190">
        <v>20</v>
      </c>
    </row>
    <row r="12" spans="1:11" ht="55.5" customHeight="1">
      <c r="A12" s="252" t="s">
        <v>280</v>
      </c>
      <c r="B12" s="392">
        <v>30</v>
      </c>
      <c r="C12" s="392"/>
      <c r="D12" s="392"/>
      <c r="E12" s="392"/>
      <c r="F12" s="189" t="s">
        <v>355</v>
      </c>
      <c r="G12" s="271">
        <v>0</v>
      </c>
      <c r="H12" s="189" t="s">
        <v>355</v>
      </c>
      <c r="I12" s="190">
        <v>0</v>
      </c>
      <c r="J12" s="189" t="s">
        <v>355</v>
      </c>
      <c r="K12" s="190">
        <v>0</v>
      </c>
    </row>
    <row r="13" spans="1:11" ht="285.75">
      <c r="A13" s="250" t="s">
        <v>281</v>
      </c>
      <c r="B13" s="392">
        <v>30</v>
      </c>
      <c r="C13" s="392"/>
      <c r="D13" s="392"/>
      <c r="E13" s="392"/>
      <c r="F13" s="189" t="s">
        <v>336</v>
      </c>
      <c r="G13" s="271">
        <v>30</v>
      </c>
      <c r="H13" s="189" t="s">
        <v>355</v>
      </c>
      <c r="I13" s="190">
        <v>0</v>
      </c>
      <c r="J13" s="189" t="s">
        <v>336</v>
      </c>
      <c r="K13" s="321">
        <v>30</v>
      </c>
    </row>
    <row r="14" spans="1:11" ht="198" customHeight="1">
      <c r="A14" s="253" t="s">
        <v>282</v>
      </c>
      <c r="B14" s="392">
        <v>30</v>
      </c>
      <c r="C14" s="392"/>
      <c r="D14" s="392"/>
      <c r="E14" s="392"/>
      <c r="F14" s="189" t="s">
        <v>336</v>
      </c>
      <c r="G14" s="193">
        <v>30</v>
      </c>
      <c r="H14" s="189" t="s">
        <v>336</v>
      </c>
      <c r="I14" s="193">
        <v>30</v>
      </c>
      <c r="J14" s="189" t="s">
        <v>336</v>
      </c>
      <c r="K14" s="193">
        <v>30</v>
      </c>
    </row>
    <row r="15" spans="1:13" ht="62.25">
      <c r="A15" s="253" t="s">
        <v>325</v>
      </c>
      <c r="B15" s="392">
        <v>30</v>
      </c>
      <c r="C15" s="392"/>
      <c r="D15" s="392"/>
      <c r="E15" s="392"/>
      <c r="F15" s="189" t="s">
        <v>355</v>
      </c>
      <c r="G15" s="321">
        <v>0</v>
      </c>
      <c r="H15" s="189" t="s">
        <v>355</v>
      </c>
      <c r="I15" s="190">
        <v>0</v>
      </c>
      <c r="J15" s="189" t="s">
        <v>355</v>
      </c>
      <c r="K15" s="190">
        <v>0</v>
      </c>
      <c r="L15" s="4"/>
      <c r="M15" s="4"/>
    </row>
    <row r="16" spans="1:11" s="223" customFormat="1" ht="18">
      <c r="A16" s="224" t="s">
        <v>231</v>
      </c>
      <c r="B16" s="393">
        <f>SUM(B5:E15)</f>
        <v>300</v>
      </c>
      <c r="C16" s="394"/>
      <c r="D16" s="394"/>
      <c r="E16" s="395"/>
      <c r="F16" s="130"/>
      <c r="G16" s="139">
        <f>SUM(G5:G15)</f>
        <v>163.45109338061465</v>
      </c>
      <c r="H16" s="130"/>
      <c r="I16" s="139">
        <f>SUM(I5:I15)</f>
        <v>75.00045803782506</v>
      </c>
      <c r="J16" s="130"/>
      <c r="K16" s="139">
        <f>SUM(K5:K15)</f>
        <v>224.44444444444446</v>
      </c>
    </row>
    <row r="17" ht="15">
      <c r="E17" s="305"/>
    </row>
    <row r="18" ht="15">
      <c r="E18" s="305"/>
    </row>
    <row r="61" spans="2:5" ht="14.25">
      <c r="B61" s="35"/>
      <c r="C61" s="35"/>
      <c r="D61" s="35"/>
      <c r="E61" s="35"/>
    </row>
    <row r="62" spans="2:5" ht="14.25">
      <c r="B62" s="35"/>
      <c r="C62" s="35"/>
      <c r="D62" s="35"/>
      <c r="E62" s="35"/>
    </row>
    <row r="63" spans="2:5" ht="14.25">
      <c r="B63" s="35"/>
      <c r="C63" s="35"/>
      <c r="D63" s="35"/>
      <c r="E63" s="35"/>
    </row>
    <row r="64" spans="2:5" ht="14.25">
      <c r="B64" s="35"/>
      <c r="C64" s="35"/>
      <c r="D64" s="35"/>
      <c r="E64" s="35"/>
    </row>
    <row r="65" spans="1:5" ht="14.25">
      <c r="A65" s="36"/>
      <c r="B65" s="35"/>
      <c r="C65" s="35"/>
      <c r="D65" s="35"/>
      <c r="E65" s="35"/>
    </row>
    <row r="66" spans="1:5" ht="14.25">
      <c r="A66" s="36"/>
      <c r="B66" s="35"/>
      <c r="C66" s="35"/>
      <c r="D66" s="35"/>
      <c r="E66" s="35"/>
    </row>
    <row r="67" spans="1:5" ht="14.25">
      <c r="A67" s="36"/>
      <c r="B67" s="35"/>
      <c r="C67" s="35"/>
      <c r="D67" s="35"/>
      <c r="E67" s="35"/>
    </row>
    <row r="68" spans="1:5" ht="14.25">
      <c r="A68" s="36"/>
      <c r="B68" s="35"/>
      <c r="C68" s="35"/>
      <c r="D68" s="35"/>
      <c r="E68" s="35"/>
    </row>
    <row r="69" spans="1:5" ht="14.25">
      <c r="A69" s="36"/>
      <c r="B69" s="35"/>
      <c r="C69" s="35"/>
      <c r="D69" s="35"/>
      <c r="E69" s="35"/>
    </row>
    <row r="70" spans="1:5" ht="14.25">
      <c r="A70" s="36"/>
      <c r="B70" s="35"/>
      <c r="C70" s="35"/>
      <c r="D70" s="35"/>
      <c r="E70" s="35"/>
    </row>
    <row r="71" spans="1:5" ht="14.25">
      <c r="A71" s="36"/>
      <c r="B71" s="35"/>
      <c r="C71" s="35"/>
      <c r="D71" s="35"/>
      <c r="E71" s="35"/>
    </row>
    <row r="72" spans="1:5" ht="14.25">
      <c r="A72" s="36"/>
      <c r="B72" s="35"/>
      <c r="C72" s="35"/>
      <c r="D72" s="35"/>
      <c r="E72" s="35"/>
    </row>
    <row r="73" spans="1:5" ht="14.25">
      <c r="A73" s="36"/>
      <c r="B73" s="35"/>
      <c r="C73" s="35"/>
      <c r="D73" s="35"/>
      <c r="E73" s="35"/>
    </row>
    <row r="74" spans="1:5" ht="14.25">
      <c r="A74" s="36"/>
      <c r="B74" s="35"/>
      <c r="C74" s="35"/>
      <c r="D74" s="35"/>
      <c r="E74" s="35"/>
    </row>
    <row r="75" spans="1:5" ht="14.25">
      <c r="A75" s="36"/>
      <c r="B75" s="35"/>
      <c r="C75" s="35"/>
      <c r="D75" s="35"/>
      <c r="E75" s="35"/>
    </row>
    <row r="76" spans="1:5" ht="14.25">
      <c r="A76" s="36"/>
      <c r="B76" s="35"/>
      <c r="C76" s="35"/>
      <c r="D76" s="35"/>
      <c r="E76" s="35"/>
    </row>
    <row r="77" spans="1:5" ht="14.25">
      <c r="A77" s="36"/>
      <c r="B77" s="35"/>
      <c r="C77" s="35"/>
      <c r="D77" s="35"/>
      <c r="E77" s="35"/>
    </row>
    <row r="78" spans="1:5" ht="14.25">
      <c r="A78" s="36"/>
      <c r="B78" s="35"/>
      <c r="C78" s="35"/>
      <c r="D78" s="35"/>
      <c r="E78" s="35"/>
    </row>
    <row r="79" spans="1:5" ht="14.25">
      <c r="A79" s="36"/>
      <c r="B79" s="35"/>
      <c r="C79" s="35"/>
      <c r="D79" s="35"/>
      <c r="E79" s="35"/>
    </row>
    <row r="80" spans="1:5" ht="14.25">
      <c r="A80" s="36"/>
      <c r="B80" s="35"/>
      <c r="C80" s="35"/>
      <c r="D80" s="35"/>
      <c r="E80" s="35"/>
    </row>
    <row r="81" spans="1:5" ht="14.25">
      <c r="A81" s="36"/>
      <c r="B81" s="35"/>
      <c r="C81" s="35"/>
      <c r="D81" s="35"/>
      <c r="E81" s="35"/>
    </row>
    <row r="82" spans="1:5" ht="14.25">
      <c r="A82" s="36"/>
      <c r="B82" s="35"/>
      <c r="C82" s="35"/>
      <c r="D82" s="35"/>
      <c r="E82" s="35"/>
    </row>
    <row r="83" spans="1:5" ht="14.25">
      <c r="A83" s="36"/>
      <c r="B83" s="35"/>
      <c r="C83" s="35"/>
      <c r="D83" s="35"/>
      <c r="E83" s="35"/>
    </row>
    <row r="84" spans="1:5" ht="14.25">
      <c r="A84" s="36"/>
      <c r="B84" s="35"/>
      <c r="C84" s="35"/>
      <c r="D84" s="35"/>
      <c r="E84" s="35"/>
    </row>
    <row r="85" spans="1:5" ht="14.25">
      <c r="A85" s="36"/>
      <c r="B85" s="35"/>
      <c r="C85" s="35"/>
      <c r="D85" s="35"/>
      <c r="E85" s="35"/>
    </row>
    <row r="86" spans="1:5" ht="14.25">
      <c r="A86" s="36"/>
      <c r="B86" s="35"/>
      <c r="C86" s="35"/>
      <c r="D86" s="35"/>
      <c r="E86" s="35"/>
    </row>
    <row r="87" spans="1:5" ht="14.25">
      <c r="A87" s="36"/>
      <c r="B87" s="35"/>
      <c r="C87" s="35"/>
      <c r="D87" s="35"/>
      <c r="E87" s="35"/>
    </row>
    <row r="88" spans="1:5" ht="14.25">
      <c r="A88" s="36"/>
      <c r="B88" s="35"/>
      <c r="C88" s="35"/>
      <c r="D88" s="35"/>
      <c r="E88" s="35"/>
    </row>
    <row r="89" spans="1:5" ht="14.25">
      <c r="A89" s="36"/>
      <c r="B89" s="35"/>
      <c r="C89" s="35"/>
      <c r="D89" s="35"/>
      <c r="E89" s="35"/>
    </row>
    <row r="90" spans="1:5" ht="14.25">
      <c r="A90" s="36"/>
      <c r="B90" s="35"/>
      <c r="C90" s="35"/>
      <c r="D90" s="35"/>
      <c r="E90" s="35"/>
    </row>
    <row r="91" spans="1:5" ht="14.25">
      <c r="A91" s="36"/>
      <c r="B91" s="35"/>
      <c r="C91" s="35"/>
      <c r="D91" s="35"/>
      <c r="E91" s="35"/>
    </row>
    <row r="92" spans="1:5" ht="14.25">
      <c r="A92" s="36"/>
      <c r="B92" s="35"/>
      <c r="C92" s="35"/>
      <c r="D92" s="35"/>
      <c r="E92" s="35"/>
    </row>
    <row r="93" spans="1:5" ht="14.25">
      <c r="A93" s="36"/>
      <c r="B93" s="35"/>
      <c r="C93" s="35"/>
      <c r="D93" s="35"/>
      <c r="E93" s="35"/>
    </row>
    <row r="94" spans="1:5" ht="14.25">
      <c r="A94" s="36"/>
      <c r="B94" s="35"/>
      <c r="C94" s="35"/>
      <c r="D94" s="35"/>
      <c r="E94" s="35"/>
    </row>
    <row r="95" spans="1:5" ht="14.25">
      <c r="A95" s="36"/>
      <c r="B95" s="35"/>
      <c r="C95" s="35"/>
      <c r="D95" s="35"/>
      <c r="E95" s="35"/>
    </row>
    <row r="96" spans="1:5" ht="14.25">
      <c r="A96" s="36"/>
      <c r="B96" s="35"/>
      <c r="C96" s="35"/>
      <c r="D96" s="35"/>
      <c r="E96" s="35"/>
    </row>
    <row r="97" spans="1:5" ht="14.25">
      <c r="A97" s="36"/>
      <c r="B97" s="35"/>
      <c r="C97" s="35"/>
      <c r="D97" s="35"/>
      <c r="E97" s="35"/>
    </row>
    <row r="98" spans="1:5" ht="14.25">
      <c r="A98" s="36"/>
      <c r="B98" s="35"/>
      <c r="C98" s="35"/>
      <c r="D98" s="35"/>
      <c r="E98" s="35"/>
    </row>
    <row r="99" spans="1:5" ht="14.25">
      <c r="A99" s="36"/>
      <c r="B99" s="35"/>
      <c r="C99" s="35"/>
      <c r="D99" s="35"/>
      <c r="E99" s="35"/>
    </row>
    <row r="100" spans="1:5" ht="14.25">
      <c r="A100" s="36"/>
      <c r="B100" s="35"/>
      <c r="C100" s="35"/>
      <c r="D100" s="35"/>
      <c r="E100" s="35"/>
    </row>
    <row r="101" spans="1:5" ht="14.25">
      <c r="A101" s="36"/>
      <c r="B101" s="35"/>
      <c r="C101" s="35"/>
      <c r="D101" s="35"/>
      <c r="E101" s="35"/>
    </row>
    <row r="102" spans="1:5" ht="14.25">
      <c r="A102" s="36"/>
      <c r="B102" s="35"/>
      <c r="C102" s="35"/>
      <c r="D102" s="35"/>
      <c r="E102" s="35"/>
    </row>
    <row r="103" spans="1:5" ht="14.25">
      <c r="A103" s="36"/>
      <c r="B103" s="35"/>
      <c r="C103" s="35"/>
      <c r="D103" s="35"/>
      <c r="E103" s="35"/>
    </row>
    <row r="104" spans="2:5" ht="14.25">
      <c r="B104" s="35"/>
      <c r="C104" s="35"/>
      <c r="D104" s="35"/>
      <c r="E104" s="35"/>
    </row>
    <row r="105" spans="2:5" ht="14.25">
      <c r="B105" s="35"/>
      <c r="C105" s="35"/>
      <c r="D105" s="35"/>
      <c r="E105" s="35"/>
    </row>
    <row r="106" spans="2:5" ht="14.25">
      <c r="B106" s="35"/>
      <c r="C106" s="35"/>
      <c r="D106" s="35"/>
      <c r="E106" s="35"/>
    </row>
    <row r="107" spans="2:5" ht="14.25">
      <c r="B107" s="35"/>
      <c r="C107" s="35"/>
      <c r="D107" s="35"/>
      <c r="E107" s="35"/>
    </row>
    <row r="108" spans="2:5" ht="14.25">
      <c r="B108" s="35"/>
      <c r="C108" s="35"/>
      <c r="D108" s="35"/>
      <c r="E108" s="35"/>
    </row>
    <row r="109" spans="2:5" ht="14.25">
      <c r="B109" s="35"/>
      <c r="C109" s="35"/>
      <c r="D109" s="35"/>
      <c r="E109" s="35"/>
    </row>
    <row r="110" spans="2:5" ht="14.25">
      <c r="B110" s="35"/>
      <c r="C110" s="35"/>
      <c r="D110" s="35"/>
      <c r="E110" s="35"/>
    </row>
    <row r="111" spans="2:5" ht="14.25">
      <c r="B111" s="35"/>
      <c r="C111" s="35"/>
      <c r="D111" s="35"/>
      <c r="E111" s="35"/>
    </row>
    <row r="112" spans="2:5" ht="14.25">
      <c r="B112" s="35"/>
      <c r="C112" s="35"/>
      <c r="D112" s="35"/>
      <c r="E112" s="35"/>
    </row>
    <row r="113" spans="2:5" ht="14.25">
      <c r="B113" s="35"/>
      <c r="C113" s="35"/>
      <c r="D113" s="35"/>
      <c r="E113" s="35"/>
    </row>
    <row r="114" spans="2:5" ht="14.25">
      <c r="B114" s="35"/>
      <c r="C114" s="35"/>
      <c r="D114" s="35"/>
      <c r="E114" s="35"/>
    </row>
    <row r="115" spans="2:5" ht="14.25">
      <c r="B115" s="35"/>
      <c r="C115" s="35"/>
      <c r="D115" s="35"/>
      <c r="E115" s="35"/>
    </row>
    <row r="116" spans="2:5" ht="14.25">
      <c r="B116" s="35"/>
      <c r="C116" s="35"/>
      <c r="D116" s="35"/>
      <c r="E116" s="35"/>
    </row>
    <row r="117" spans="2:5" ht="14.25">
      <c r="B117" s="35"/>
      <c r="C117" s="35"/>
      <c r="D117" s="35"/>
      <c r="E117" s="35"/>
    </row>
    <row r="118" spans="2:5" ht="14.25">
      <c r="B118" s="35"/>
      <c r="C118" s="35"/>
      <c r="D118" s="35"/>
      <c r="E118" s="35"/>
    </row>
    <row r="119" spans="2:5" ht="14.25">
      <c r="B119" s="35"/>
      <c r="C119" s="35"/>
      <c r="D119" s="35"/>
      <c r="E119" s="35"/>
    </row>
    <row r="121" spans="6:11" ht="14.25">
      <c r="F121" s="24"/>
      <c r="G121" s="24"/>
      <c r="H121" s="24"/>
      <c r="I121" s="24"/>
      <c r="J121" s="24"/>
      <c r="K121" s="24"/>
    </row>
  </sheetData>
  <sheetProtection/>
  <mergeCells count="17">
    <mergeCell ref="A1:K1"/>
    <mergeCell ref="A2:K2"/>
    <mergeCell ref="B13:E13"/>
    <mergeCell ref="B10:E10"/>
    <mergeCell ref="B11:E11"/>
    <mergeCell ref="A3:A4"/>
    <mergeCell ref="B3:E4"/>
    <mergeCell ref="F3:K3"/>
    <mergeCell ref="B15:E15"/>
    <mergeCell ref="B16:E16"/>
    <mergeCell ref="B5:E5"/>
    <mergeCell ref="B6:E6"/>
    <mergeCell ref="B14:E14"/>
    <mergeCell ref="B7:E7"/>
    <mergeCell ref="B8:E8"/>
    <mergeCell ref="B9:E9"/>
    <mergeCell ref="B12:E12"/>
  </mergeCells>
  <printOptions horizontalCentered="1" verticalCentered="1"/>
  <pageMargins left="0.5905511811023623" right="0.5511811023622047" top="0.7480314960629921" bottom="0.7480314960629921" header="0.31496062992125984" footer="0.31496062992125984"/>
  <pageSetup orientation="portrait" scale="80" r:id="rId1"/>
</worksheet>
</file>

<file path=xl/worksheets/sheet7.xml><?xml version="1.0" encoding="utf-8"?>
<worksheet xmlns="http://schemas.openxmlformats.org/spreadsheetml/2006/main" xmlns:r="http://schemas.openxmlformats.org/officeDocument/2006/relationships">
  <dimension ref="A1:L121"/>
  <sheetViews>
    <sheetView zoomScale="69" zoomScaleNormal="69" zoomScalePageLayoutView="0" workbookViewId="0" topLeftCell="A1">
      <selection activeCell="A1" sqref="A1:H1"/>
    </sheetView>
  </sheetViews>
  <sheetFormatPr defaultColWidth="11.421875" defaultRowHeight="15"/>
  <cols>
    <col min="1" max="1" width="88.00390625" style="1" customWidth="1"/>
    <col min="2" max="2" width="25.7109375" style="37" customWidth="1"/>
    <col min="3" max="3" width="45.140625" style="7" customWidth="1"/>
    <col min="4" max="4" width="15.57421875" style="7" customWidth="1"/>
    <col min="5" max="5" width="45.140625" style="7" customWidth="1"/>
    <col min="6" max="6" width="15.57421875" style="7" customWidth="1"/>
    <col min="7" max="7" width="45.140625" style="7" customWidth="1"/>
    <col min="8" max="8" width="15.57421875" style="7" customWidth="1"/>
    <col min="9" max="16384" width="11.421875" style="1" customWidth="1"/>
  </cols>
  <sheetData>
    <row r="1" spans="1:8" ht="34.5" customHeight="1">
      <c r="A1" s="388" t="s">
        <v>154</v>
      </c>
      <c r="B1" s="388"/>
      <c r="C1" s="388"/>
      <c r="D1" s="388"/>
      <c r="E1" s="388"/>
      <c r="F1" s="388"/>
      <c r="G1" s="388"/>
      <c r="H1" s="388"/>
    </row>
    <row r="2" spans="1:8" ht="20.25" customHeight="1">
      <c r="A2" s="388" t="s">
        <v>5</v>
      </c>
      <c r="B2" s="388"/>
      <c r="C2" s="388"/>
      <c r="D2" s="388"/>
      <c r="E2" s="388"/>
      <c r="F2" s="388"/>
      <c r="G2" s="388"/>
      <c r="H2" s="388"/>
    </row>
    <row r="3" spans="1:8" ht="15" customHeight="1">
      <c r="A3" s="396" t="s">
        <v>1</v>
      </c>
      <c r="B3" s="396" t="s">
        <v>2</v>
      </c>
      <c r="C3" s="373" t="s">
        <v>162</v>
      </c>
      <c r="D3" s="374"/>
      <c r="E3" s="374"/>
      <c r="F3" s="374"/>
      <c r="G3" s="374"/>
      <c r="H3" s="374"/>
    </row>
    <row r="4" spans="1:8" ht="54">
      <c r="A4" s="397"/>
      <c r="B4" s="397"/>
      <c r="C4" s="130" t="s">
        <v>330</v>
      </c>
      <c r="D4" s="130" t="s">
        <v>2</v>
      </c>
      <c r="E4" s="130" t="s">
        <v>331</v>
      </c>
      <c r="F4" s="130" t="s">
        <v>2</v>
      </c>
      <c r="G4" s="130" t="s">
        <v>332</v>
      </c>
      <c r="H4" s="130" t="s">
        <v>2</v>
      </c>
    </row>
    <row r="5" spans="1:8" ht="104.25" customHeight="1">
      <c r="A5" s="38" t="s">
        <v>67</v>
      </c>
      <c r="B5" s="190">
        <v>50</v>
      </c>
      <c r="C5" s="189" t="s">
        <v>351</v>
      </c>
      <c r="D5" s="188">
        <v>50</v>
      </c>
      <c r="E5" s="189" t="s">
        <v>395</v>
      </c>
      <c r="F5" s="188">
        <f>50*150/250</f>
        <v>30</v>
      </c>
      <c r="G5" s="189" t="s">
        <v>426</v>
      </c>
      <c r="H5" s="188">
        <f>50*50/250</f>
        <v>10</v>
      </c>
    </row>
    <row r="6" spans="1:12" ht="129" customHeight="1">
      <c r="A6" s="39" t="s">
        <v>146</v>
      </c>
      <c r="B6" s="188">
        <v>20</v>
      </c>
      <c r="C6" s="189" t="s">
        <v>336</v>
      </c>
      <c r="D6" s="188">
        <v>20</v>
      </c>
      <c r="E6" s="189" t="s">
        <v>336</v>
      </c>
      <c r="F6" s="188">
        <v>20</v>
      </c>
      <c r="G6" s="189" t="s">
        <v>336</v>
      </c>
      <c r="H6" s="188">
        <v>20</v>
      </c>
      <c r="I6" s="4"/>
      <c r="J6" s="4"/>
      <c r="K6" s="4"/>
      <c r="L6" s="4"/>
    </row>
    <row r="7" spans="1:8" s="40" customFormat="1" ht="81.75" customHeight="1">
      <c r="A7" s="41" t="s">
        <v>147</v>
      </c>
      <c r="B7" s="188">
        <v>20</v>
      </c>
      <c r="C7" s="189" t="s">
        <v>352</v>
      </c>
      <c r="D7" s="188">
        <f>20*10/15</f>
        <v>13.333333333333334</v>
      </c>
      <c r="E7" s="189" t="s">
        <v>396</v>
      </c>
      <c r="F7" s="188">
        <v>20</v>
      </c>
      <c r="G7" s="189" t="s">
        <v>427</v>
      </c>
      <c r="H7" s="188">
        <f>20*10/15</f>
        <v>13.333333333333334</v>
      </c>
    </row>
    <row r="8" spans="1:8" ht="86.25" customHeight="1">
      <c r="A8" s="41" t="s">
        <v>148</v>
      </c>
      <c r="B8" s="190">
        <v>20</v>
      </c>
      <c r="C8" s="189" t="s">
        <v>353</v>
      </c>
      <c r="D8" s="190">
        <v>20</v>
      </c>
      <c r="E8" s="189" t="s">
        <v>353</v>
      </c>
      <c r="F8" s="190">
        <v>20</v>
      </c>
      <c r="G8" s="189" t="s">
        <v>353</v>
      </c>
      <c r="H8" s="188">
        <v>20</v>
      </c>
    </row>
    <row r="9" spans="1:8" ht="126.75" customHeight="1">
      <c r="A9" s="41" t="s">
        <v>161</v>
      </c>
      <c r="B9" s="188">
        <v>50</v>
      </c>
      <c r="C9" s="189" t="s">
        <v>354</v>
      </c>
      <c r="D9" s="190">
        <f>50*7.5/375</f>
        <v>1</v>
      </c>
      <c r="E9" s="189" t="s">
        <v>397</v>
      </c>
      <c r="F9" s="190">
        <v>50</v>
      </c>
      <c r="G9" s="189" t="s">
        <v>428</v>
      </c>
      <c r="H9" s="190">
        <f>50*50/375</f>
        <v>6.666666666666667</v>
      </c>
    </row>
    <row r="10" spans="1:8" s="53" customFormat="1" ht="74.25" customHeight="1">
      <c r="A10" s="43" t="s">
        <v>149</v>
      </c>
      <c r="B10" s="188">
        <v>30</v>
      </c>
      <c r="C10" s="189" t="s">
        <v>355</v>
      </c>
      <c r="D10" s="190">
        <v>0</v>
      </c>
      <c r="E10" s="308" t="s">
        <v>398</v>
      </c>
      <c r="F10" s="190">
        <f>30*0.5/1</f>
        <v>15</v>
      </c>
      <c r="G10" s="308" t="s">
        <v>429</v>
      </c>
      <c r="H10" s="188">
        <v>30</v>
      </c>
    </row>
    <row r="11" spans="1:8" s="53" customFormat="1" ht="81.75" customHeight="1">
      <c r="A11" s="41" t="s">
        <v>150</v>
      </c>
      <c r="B11" s="188">
        <v>20</v>
      </c>
      <c r="C11" s="189" t="s">
        <v>355</v>
      </c>
      <c r="D11" s="190">
        <v>0</v>
      </c>
      <c r="E11" s="189" t="s">
        <v>399</v>
      </c>
      <c r="F11" s="190">
        <f>20*20/50</f>
        <v>8</v>
      </c>
      <c r="G11" s="189" t="s">
        <v>430</v>
      </c>
      <c r="H11" s="188">
        <v>20</v>
      </c>
    </row>
    <row r="12" spans="1:9" s="53" customFormat="1" ht="121.5" customHeight="1">
      <c r="A12" s="41" t="s">
        <v>138</v>
      </c>
      <c r="B12" s="188">
        <v>20</v>
      </c>
      <c r="C12" s="189" t="s">
        <v>336</v>
      </c>
      <c r="D12" s="190">
        <v>20</v>
      </c>
      <c r="E12" s="189" t="s">
        <v>336</v>
      </c>
      <c r="F12" s="190">
        <v>20</v>
      </c>
      <c r="G12" s="189" t="s">
        <v>336</v>
      </c>
      <c r="H12" s="190">
        <v>20</v>
      </c>
      <c r="I12" s="208"/>
    </row>
    <row r="13" spans="1:8" s="53" customFormat="1" ht="81.75" customHeight="1">
      <c r="A13" s="41" t="s">
        <v>144</v>
      </c>
      <c r="B13" s="188">
        <v>40</v>
      </c>
      <c r="C13" s="189" t="s">
        <v>336</v>
      </c>
      <c r="D13" s="190">
        <v>40</v>
      </c>
      <c r="E13" s="308" t="s">
        <v>355</v>
      </c>
      <c r="F13" s="190">
        <v>0</v>
      </c>
      <c r="G13" s="189" t="s">
        <v>336</v>
      </c>
      <c r="H13" s="190">
        <v>40</v>
      </c>
    </row>
    <row r="14" spans="1:8" s="53" customFormat="1" ht="306.75" customHeight="1">
      <c r="A14" s="41" t="s">
        <v>202</v>
      </c>
      <c r="B14" s="190">
        <v>20</v>
      </c>
      <c r="C14" s="189" t="s">
        <v>336</v>
      </c>
      <c r="D14" s="190">
        <v>20</v>
      </c>
      <c r="E14" s="308" t="s">
        <v>355</v>
      </c>
      <c r="F14" s="190">
        <v>0</v>
      </c>
      <c r="G14" s="189" t="s">
        <v>336</v>
      </c>
      <c r="H14" s="190">
        <v>20</v>
      </c>
    </row>
    <row r="15" spans="1:8" ht="195" customHeight="1">
      <c r="A15" s="41" t="s">
        <v>229</v>
      </c>
      <c r="B15" s="190">
        <v>10</v>
      </c>
      <c r="C15" s="189" t="s">
        <v>336</v>
      </c>
      <c r="D15" s="190">
        <v>10</v>
      </c>
      <c r="E15" s="189" t="s">
        <v>336</v>
      </c>
      <c r="F15" s="190">
        <v>10</v>
      </c>
      <c r="G15" s="189" t="s">
        <v>336</v>
      </c>
      <c r="H15" s="190">
        <v>10</v>
      </c>
    </row>
    <row r="16" spans="1:8" s="141" customFormat="1" ht="18">
      <c r="A16" s="140" t="s">
        <v>68</v>
      </c>
      <c r="B16" s="170">
        <f>SUM(B4:B15)</f>
        <v>300</v>
      </c>
      <c r="C16" s="138"/>
      <c r="D16" s="139">
        <f>SUM(D5:D15)</f>
        <v>194.33333333333331</v>
      </c>
      <c r="E16" s="306"/>
      <c r="F16" s="139">
        <f>SUM(F5:F15)</f>
        <v>193</v>
      </c>
      <c r="G16" s="138"/>
      <c r="H16" s="139">
        <f>SUM(H5:H15)</f>
        <v>210</v>
      </c>
    </row>
    <row r="17" ht="15">
      <c r="E17" s="307"/>
    </row>
    <row r="18" ht="15">
      <c r="E18" s="307"/>
    </row>
    <row r="121" spans="3:8" ht="14.25">
      <c r="C121" s="24"/>
      <c r="D121" s="24"/>
      <c r="E121" s="24"/>
      <c r="F121" s="24"/>
      <c r="G121" s="24"/>
      <c r="H121" s="24"/>
    </row>
  </sheetData>
  <sheetProtection/>
  <mergeCells count="5">
    <mergeCell ref="A1:H1"/>
    <mergeCell ref="A2:H2"/>
    <mergeCell ref="A3:A4"/>
    <mergeCell ref="B3:B4"/>
    <mergeCell ref="C3:H3"/>
  </mergeCells>
  <printOptions horizontalCentered="1" verticalCentered="1"/>
  <pageMargins left="0.5905511811023623" right="0.5511811023622047" top="0.7480314960629921" bottom="0.7480314960629921" header="0.31496062992125984" footer="0.31496062992125984"/>
  <pageSetup orientation="portrait" scale="70" r:id="rId1"/>
</worksheet>
</file>

<file path=xl/worksheets/sheet8.xml><?xml version="1.0" encoding="utf-8"?>
<worksheet xmlns="http://schemas.openxmlformats.org/spreadsheetml/2006/main" xmlns:r="http://schemas.openxmlformats.org/officeDocument/2006/relationships">
  <dimension ref="A1:L121"/>
  <sheetViews>
    <sheetView zoomScale="77" zoomScaleNormal="77" zoomScalePageLayoutView="0" workbookViewId="0" topLeftCell="A1">
      <selection activeCell="A2" sqref="A2:H2"/>
    </sheetView>
  </sheetViews>
  <sheetFormatPr defaultColWidth="11.421875" defaultRowHeight="15"/>
  <cols>
    <col min="1" max="1" width="85.7109375" style="1" customWidth="1"/>
    <col min="2" max="2" width="25.7109375" style="11" customWidth="1"/>
    <col min="3" max="3" width="44.7109375" style="7" customWidth="1"/>
    <col min="4" max="4" width="15.57421875" style="7" customWidth="1"/>
    <col min="5" max="5" width="48.421875" style="7" customWidth="1"/>
    <col min="6" max="6" width="15.57421875" style="7" customWidth="1"/>
    <col min="7" max="7" width="44.7109375" style="7" customWidth="1"/>
    <col min="8" max="8" width="15.57421875" style="7" customWidth="1"/>
    <col min="9" max="9" width="11.421875" style="1" customWidth="1"/>
    <col min="10" max="10" width="19.7109375" style="1" customWidth="1"/>
    <col min="11" max="16384" width="11.421875" style="1" customWidth="1"/>
  </cols>
  <sheetData>
    <row r="1" spans="1:8" ht="56.25" customHeight="1">
      <c r="A1" s="404" t="s">
        <v>155</v>
      </c>
      <c r="B1" s="404"/>
      <c r="C1" s="404"/>
      <c r="D1" s="404"/>
      <c r="E1" s="404"/>
      <c r="F1" s="404"/>
      <c r="G1" s="404"/>
      <c r="H1" s="404"/>
    </row>
    <row r="2" spans="1:8" ht="21.75" customHeight="1">
      <c r="A2" s="405" t="s">
        <v>5</v>
      </c>
      <c r="B2" s="405"/>
      <c r="C2" s="405"/>
      <c r="D2" s="405"/>
      <c r="E2" s="405"/>
      <c r="F2" s="405"/>
      <c r="G2" s="405"/>
      <c r="H2" s="405"/>
    </row>
    <row r="3" spans="1:8" ht="15" customHeight="1">
      <c r="A3" s="396" t="s">
        <v>1</v>
      </c>
      <c r="B3" s="406" t="s">
        <v>18</v>
      </c>
      <c r="C3" s="373" t="s">
        <v>162</v>
      </c>
      <c r="D3" s="374"/>
      <c r="E3" s="374"/>
      <c r="F3" s="374"/>
      <c r="G3" s="374"/>
      <c r="H3" s="374"/>
    </row>
    <row r="4" spans="1:8" ht="54">
      <c r="A4" s="397"/>
      <c r="B4" s="407"/>
      <c r="C4" s="130" t="s">
        <v>330</v>
      </c>
      <c r="D4" s="130" t="s">
        <v>2</v>
      </c>
      <c r="E4" s="130" t="s">
        <v>331</v>
      </c>
      <c r="F4" s="130" t="s">
        <v>2</v>
      </c>
      <c r="G4" s="130" t="s">
        <v>332</v>
      </c>
      <c r="H4" s="130" t="s">
        <v>2</v>
      </c>
    </row>
    <row r="5" spans="1:8" ht="60.75" customHeight="1">
      <c r="A5" s="2" t="s">
        <v>19</v>
      </c>
      <c r="B5" s="9">
        <v>50</v>
      </c>
      <c r="C5" s="189" t="s">
        <v>377</v>
      </c>
      <c r="D5" s="188">
        <v>50</v>
      </c>
      <c r="E5" s="189" t="s">
        <v>400</v>
      </c>
      <c r="F5" s="188">
        <f>(16.66*300/550)+(16.66*300/550)+(16.66*600/1100)</f>
        <v>27.261818181818185</v>
      </c>
      <c r="G5" s="189" t="s">
        <v>431</v>
      </c>
      <c r="H5" s="188">
        <f>(16.66*500/550)+(16.66*500/550)+(16.66*1000/1100)</f>
        <v>45.43636363636364</v>
      </c>
    </row>
    <row r="6" spans="1:9" ht="51" customHeight="1">
      <c r="A6" s="2" t="s">
        <v>20</v>
      </c>
      <c r="B6" s="9">
        <v>20</v>
      </c>
      <c r="C6" s="189" t="s">
        <v>378</v>
      </c>
      <c r="D6" s="190">
        <f>20*400/500</f>
        <v>16</v>
      </c>
      <c r="E6" s="189" t="s">
        <v>401</v>
      </c>
      <c r="F6" s="190">
        <v>20</v>
      </c>
      <c r="G6" s="189" t="s">
        <v>432</v>
      </c>
      <c r="H6" s="190">
        <f>20*100/500</f>
        <v>4</v>
      </c>
      <c r="I6" s="209"/>
    </row>
    <row r="7" spans="1:8" ht="58.5">
      <c r="A7" s="10" t="s">
        <v>137</v>
      </c>
      <c r="B7" s="9">
        <v>20</v>
      </c>
      <c r="C7" s="189" t="s">
        <v>402</v>
      </c>
      <c r="D7" s="188">
        <f>20*6/10</f>
        <v>12</v>
      </c>
      <c r="E7" s="189" t="s">
        <v>403</v>
      </c>
      <c r="F7" s="188">
        <v>20</v>
      </c>
      <c r="G7" s="189" t="s">
        <v>433</v>
      </c>
      <c r="H7" s="188">
        <f>20*5/10</f>
        <v>10</v>
      </c>
    </row>
    <row r="8" spans="1:8" ht="112.5" customHeight="1">
      <c r="A8" s="2" t="s">
        <v>143</v>
      </c>
      <c r="B8" s="9">
        <v>30</v>
      </c>
      <c r="C8" s="189" t="s">
        <v>336</v>
      </c>
      <c r="D8" s="188">
        <v>0</v>
      </c>
      <c r="E8" s="189" t="s">
        <v>404</v>
      </c>
      <c r="F8" s="188">
        <v>0</v>
      </c>
      <c r="G8" s="189" t="s">
        <v>434</v>
      </c>
      <c r="H8" s="188">
        <v>15</v>
      </c>
    </row>
    <row r="9" spans="1:8" ht="70.5" customHeight="1">
      <c r="A9" s="2" t="s">
        <v>21</v>
      </c>
      <c r="B9" s="9">
        <v>20</v>
      </c>
      <c r="C9" s="189" t="s">
        <v>355</v>
      </c>
      <c r="D9" s="188">
        <v>0</v>
      </c>
      <c r="E9" s="189" t="s">
        <v>355</v>
      </c>
      <c r="F9" s="188">
        <v>0</v>
      </c>
      <c r="G9" s="189" t="s">
        <v>355</v>
      </c>
      <c r="H9" s="188">
        <v>0</v>
      </c>
    </row>
    <row r="10" spans="1:8" ht="43.5">
      <c r="A10" s="2" t="s">
        <v>22</v>
      </c>
      <c r="B10" s="9">
        <v>20</v>
      </c>
      <c r="C10" s="189" t="s">
        <v>336</v>
      </c>
      <c r="D10" s="188">
        <f>20*10/50</f>
        <v>4</v>
      </c>
      <c r="E10" s="189" t="s">
        <v>406</v>
      </c>
      <c r="F10" s="188">
        <v>20</v>
      </c>
      <c r="G10" s="189" t="s">
        <v>406</v>
      </c>
      <c r="H10" s="188">
        <v>20</v>
      </c>
    </row>
    <row r="11" spans="1:12" ht="49.5" customHeight="1">
      <c r="A11" s="2" t="s">
        <v>23</v>
      </c>
      <c r="B11" s="9">
        <v>20</v>
      </c>
      <c r="C11" s="189" t="s">
        <v>336</v>
      </c>
      <c r="D11" s="188">
        <v>20</v>
      </c>
      <c r="E11" s="189" t="s">
        <v>336</v>
      </c>
      <c r="F11" s="188">
        <v>20</v>
      </c>
      <c r="G11" s="189" t="s">
        <v>336</v>
      </c>
      <c r="H11" s="188">
        <v>20</v>
      </c>
      <c r="I11" s="4"/>
      <c r="J11" s="4"/>
      <c r="K11" s="4"/>
      <c r="L11" s="4"/>
    </row>
    <row r="12" spans="1:12" ht="68.25" customHeight="1">
      <c r="A12" s="3" t="s">
        <v>151</v>
      </c>
      <c r="B12" s="9">
        <v>20</v>
      </c>
      <c r="C12" s="189" t="s">
        <v>379</v>
      </c>
      <c r="D12" s="188">
        <v>20</v>
      </c>
      <c r="E12" s="189" t="s">
        <v>405</v>
      </c>
      <c r="F12" s="188">
        <f>(10*25/30)</f>
        <v>8.333333333333334</v>
      </c>
      <c r="G12" s="189" t="s">
        <v>435</v>
      </c>
      <c r="H12" s="188">
        <f>(10*25/30)+10</f>
        <v>18.333333333333336</v>
      </c>
      <c r="I12" s="4"/>
      <c r="J12" s="4"/>
      <c r="K12" s="4"/>
      <c r="L12" s="4"/>
    </row>
    <row r="13" spans="1:12" ht="68.25" customHeight="1">
      <c r="A13" s="3" t="s">
        <v>139</v>
      </c>
      <c r="B13" s="9">
        <v>50</v>
      </c>
      <c r="C13" s="189" t="s">
        <v>355</v>
      </c>
      <c r="D13" s="188">
        <v>0</v>
      </c>
      <c r="E13" s="308" t="s">
        <v>336</v>
      </c>
      <c r="F13" s="188">
        <v>50</v>
      </c>
      <c r="G13" s="308" t="s">
        <v>336</v>
      </c>
      <c r="H13" s="188">
        <v>50</v>
      </c>
      <c r="I13" s="4"/>
      <c r="J13" s="4"/>
      <c r="K13" s="4"/>
      <c r="L13" s="4"/>
    </row>
    <row r="14" spans="1:12" ht="185.25" customHeight="1">
      <c r="A14" s="41" t="s">
        <v>229</v>
      </c>
      <c r="B14" s="171">
        <v>20</v>
      </c>
      <c r="C14" s="187" t="s">
        <v>336</v>
      </c>
      <c r="D14" s="188">
        <v>20</v>
      </c>
      <c r="E14" s="187" t="s">
        <v>336</v>
      </c>
      <c r="F14" s="188">
        <v>20</v>
      </c>
      <c r="G14" s="187" t="s">
        <v>336</v>
      </c>
      <c r="H14" s="188">
        <v>20</v>
      </c>
      <c r="I14" s="4"/>
      <c r="J14" s="4"/>
      <c r="K14" s="4"/>
      <c r="L14" s="4"/>
    </row>
    <row r="15" spans="1:8" ht="257.25">
      <c r="A15" s="41" t="s">
        <v>202</v>
      </c>
      <c r="B15" s="9">
        <v>30</v>
      </c>
      <c r="C15" s="187" t="s">
        <v>336</v>
      </c>
      <c r="D15" s="188">
        <v>30</v>
      </c>
      <c r="E15" s="187" t="s">
        <v>336</v>
      </c>
      <c r="F15" s="188">
        <v>30</v>
      </c>
      <c r="G15" s="187" t="s">
        <v>336</v>
      </c>
      <c r="H15" s="188">
        <v>30</v>
      </c>
    </row>
    <row r="16" spans="1:8" ht="18">
      <c r="A16" s="228" t="s">
        <v>240</v>
      </c>
      <c r="B16" s="139">
        <f>SUM(B5:B15)</f>
        <v>300</v>
      </c>
      <c r="C16" s="138"/>
      <c r="D16" s="139">
        <f>SUM(D5:D15)</f>
        <v>172</v>
      </c>
      <c r="E16" s="306"/>
      <c r="F16" s="139">
        <f>SUM(F5:F15)</f>
        <v>215.5951515151515</v>
      </c>
      <c r="G16" s="138"/>
      <c r="H16" s="139">
        <f>SUM(H5:H15)</f>
        <v>232.76969696969698</v>
      </c>
    </row>
    <row r="17" spans="1:8" s="27" customFormat="1" ht="15">
      <c r="A17" s="1"/>
      <c r="B17" s="11"/>
      <c r="C17" s="7"/>
      <c r="D17" s="7"/>
      <c r="E17" s="307"/>
      <c r="F17" s="7"/>
      <c r="G17" s="7"/>
      <c r="H17" s="7"/>
    </row>
    <row r="18" spans="2:8" s="27" customFormat="1" ht="15">
      <c r="B18" s="29"/>
      <c r="C18" s="7"/>
      <c r="D18" s="7"/>
      <c r="E18" s="307"/>
      <c r="F18" s="7"/>
      <c r="G18" s="7"/>
      <c r="H18" s="7"/>
    </row>
    <row r="19" spans="2:8" s="27" customFormat="1" ht="14.25">
      <c r="B19" s="29"/>
      <c r="C19" s="7"/>
      <c r="D19" s="7"/>
      <c r="E19" s="7"/>
      <c r="F19" s="7"/>
      <c r="G19" s="7"/>
      <c r="H19" s="7"/>
    </row>
    <row r="20" spans="2:8" s="27" customFormat="1" ht="14.25">
      <c r="B20" s="29"/>
      <c r="C20" s="7"/>
      <c r="D20" s="7"/>
      <c r="E20" s="7"/>
      <c r="F20" s="7"/>
      <c r="G20" s="7"/>
      <c r="H20" s="7"/>
    </row>
    <row r="21" spans="2:8" s="27" customFormat="1" ht="14.25">
      <c r="B21" s="29"/>
      <c r="C21" s="7"/>
      <c r="D21" s="7"/>
      <c r="E21" s="7"/>
      <c r="F21" s="7"/>
      <c r="G21" s="7"/>
      <c r="H21" s="7"/>
    </row>
    <row r="22" spans="2:8" s="27" customFormat="1" ht="14.25">
      <c r="B22" s="29"/>
      <c r="C22" s="7"/>
      <c r="D22" s="7"/>
      <c r="E22" s="7"/>
      <c r="F22" s="7"/>
      <c r="G22" s="7"/>
      <c r="H22" s="7"/>
    </row>
    <row r="23" spans="2:8" s="27" customFormat="1" ht="14.25">
      <c r="B23" s="29"/>
      <c r="C23" s="7"/>
      <c r="D23" s="7"/>
      <c r="E23" s="7"/>
      <c r="F23" s="7"/>
      <c r="G23" s="7"/>
      <c r="H23" s="7"/>
    </row>
    <row r="24" spans="2:8" s="27" customFormat="1" ht="14.25">
      <c r="B24" s="29"/>
      <c r="C24" s="7"/>
      <c r="D24" s="7"/>
      <c r="E24" s="7"/>
      <c r="F24" s="7"/>
      <c r="G24" s="7"/>
      <c r="H24" s="7"/>
    </row>
    <row r="25" spans="2:8" s="27" customFormat="1" ht="14.25">
      <c r="B25" s="29"/>
      <c r="C25" s="7"/>
      <c r="D25" s="7"/>
      <c r="E25" s="7"/>
      <c r="F25" s="7"/>
      <c r="G25" s="7"/>
      <c r="H25" s="7"/>
    </row>
    <row r="26" spans="2:8" s="27" customFormat="1" ht="14.25">
      <c r="B26" s="29"/>
      <c r="C26" s="7"/>
      <c r="D26" s="7"/>
      <c r="E26" s="7"/>
      <c r="F26" s="7"/>
      <c r="G26" s="7"/>
      <c r="H26" s="7"/>
    </row>
    <row r="27" spans="2:8" s="27" customFormat="1" ht="14.25">
      <c r="B27" s="29"/>
      <c r="C27" s="7"/>
      <c r="D27" s="7"/>
      <c r="E27" s="7"/>
      <c r="F27" s="7"/>
      <c r="G27" s="7"/>
      <c r="H27" s="7"/>
    </row>
    <row r="28" spans="2:8" s="27" customFormat="1" ht="14.25">
      <c r="B28" s="29"/>
      <c r="C28" s="7"/>
      <c r="D28" s="7"/>
      <c r="E28" s="7"/>
      <c r="F28" s="7"/>
      <c r="G28" s="7"/>
      <c r="H28" s="7"/>
    </row>
    <row r="29" spans="2:8" s="27" customFormat="1" ht="14.25">
      <c r="B29" s="29"/>
      <c r="C29" s="7"/>
      <c r="D29" s="7"/>
      <c r="E29" s="7"/>
      <c r="F29" s="7"/>
      <c r="G29" s="7"/>
      <c r="H29" s="7"/>
    </row>
    <row r="30" spans="1:2" ht="14.25">
      <c r="A30" s="27"/>
      <c r="B30" s="29"/>
    </row>
    <row r="121" spans="3:8" ht="14.25">
      <c r="C121" s="24"/>
      <c r="D121" s="24"/>
      <c r="E121" s="24"/>
      <c r="F121" s="24"/>
      <c r="G121" s="24"/>
      <c r="H121" s="24"/>
    </row>
  </sheetData>
  <sheetProtection/>
  <mergeCells count="5">
    <mergeCell ref="A1:H1"/>
    <mergeCell ref="A2:H2"/>
    <mergeCell ref="A3:A4"/>
    <mergeCell ref="B3:B4"/>
    <mergeCell ref="C3:H3"/>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9.xml><?xml version="1.0" encoding="utf-8"?>
<worksheet xmlns="http://schemas.openxmlformats.org/spreadsheetml/2006/main" xmlns:r="http://schemas.openxmlformats.org/officeDocument/2006/relationships">
  <dimension ref="C1:M113"/>
  <sheetViews>
    <sheetView zoomScale="75" zoomScaleNormal="75" zoomScalePageLayoutView="0" workbookViewId="0" topLeftCell="C1">
      <selection activeCell="C1" sqref="C1:M1"/>
    </sheetView>
  </sheetViews>
  <sheetFormatPr defaultColWidth="11.421875" defaultRowHeight="15"/>
  <cols>
    <col min="1" max="2" width="11.421875" style="1" hidden="1" customWidth="1"/>
    <col min="3" max="3" width="85.7109375" style="1" customWidth="1"/>
    <col min="4" max="7" width="6.140625" style="37" customWidth="1"/>
    <col min="8" max="8" width="44.7109375" style="7" customWidth="1"/>
    <col min="9" max="9" width="15.57421875" style="7" customWidth="1"/>
    <col min="10" max="10" width="44.7109375" style="7" customWidth="1"/>
    <col min="11" max="11" width="15.57421875" style="7" customWidth="1"/>
    <col min="12" max="12" width="44.7109375" style="7" customWidth="1"/>
    <col min="13" max="13" width="15.57421875" style="7" customWidth="1"/>
    <col min="14" max="14" width="11.421875" style="1" customWidth="1"/>
    <col min="15" max="15" width="12.7109375" style="1" bestFit="1" customWidth="1"/>
    <col min="16" max="16384" width="11.421875" style="1" customWidth="1"/>
  </cols>
  <sheetData>
    <row r="1" spans="3:13" ht="56.25" customHeight="1">
      <c r="C1" s="405" t="s">
        <v>285</v>
      </c>
      <c r="D1" s="405"/>
      <c r="E1" s="405"/>
      <c r="F1" s="405"/>
      <c r="G1" s="405"/>
      <c r="H1" s="405"/>
      <c r="I1" s="405"/>
      <c r="J1" s="405"/>
      <c r="K1" s="405"/>
      <c r="L1" s="405"/>
      <c r="M1" s="405"/>
    </row>
    <row r="2" spans="3:13" ht="18">
      <c r="C2" s="414" t="s">
        <v>0</v>
      </c>
      <c r="D2" s="414"/>
      <c r="E2" s="414"/>
      <c r="F2" s="414"/>
      <c r="G2" s="414"/>
      <c r="H2" s="373" t="s">
        <v>162</v>
      </c>
      <c r="I2" s="374"/>
      <c r="J2" s="374"/>
      <c r="K2" s="374"/>
      <c r="L2" s="374"/>
      <c r="M2" s="374"/>
    </row>
    <row r="3" spans="3:13" ht="54">
      <c r="C3" s="415" t="s">
        <v>286</v>
      </c>
      <c r="D3" s="416"/>
      <c r="E3" s="416"/>
      <c r="F3" s="416"/>
      <c r="G3" s="417"/>
      <c r="H3" s="130" t="s">
        <v>330</v>
      </c>
      <c r="I3" s="130" t="s">
        <v>2</v>
      </c>
      <c r="J3" s="130" t="s">
        <v>331</v>
      </c>
      <c r="K3" s="130" t="s">
        <v>2</v>
      </c>
      <c r="L3" s="130" t="s">
        <v>332</v>
      </c>
      <c r="M3" s="130" t="s">
        <v>2</v>
      </c>
    </row>
    <row r="4" spans="3:13" ht="15" customHeight="1">
      <c r="C4" s="254" t="s">
        <v>1</v>
      </c>
      <c r="D4" s="418"/>
      <c r="E4" s="418"/>
      <c r="F4" s="418"/>
      <c r="G4" s="418"/>
      <c r="H4" s="189"/>
      <c r="I4" s="188"/>
      <c r="J4" s="189"/>
      <c r="K4" s="188"/>
      <c r="L4" s="189"/>
      <c r="M4" s="188"/>
    </row>
    <row r="5" spans="3:13" ht="43.5">
      <c r="C5" s="2" t="s">
        <v>287</v>
      </c>
      <c r="D5" s="412">
        <v>100</v>
      </c>
      <c r="E5" s="413"/>
      <c r="F5" s="412"/>
      <c r="G5" s="412"/>
      <c r="H5" s="189" t="s">
        <v>408</v>
      </c>
      <c r="I5" s="190">
        <v>100</v>
      </c>
      <c r="J5" s="189" t="s">
        <v>407</v>
      </c>
      <c r="K5" s="190">
        <f>100*500/1500</f>
        <v>33.333333333333336</v>
      </c>
      <c r="L5" s="189" t="s">
        <v>436</v>
      </c>
      <c r="M5" s="190">
        <f>100*1000/1500</f>
        <v>66.66666666666667</v>
      </c>
    </row>
    <row r="6" spans="3:13" ht="43.5">
      <c r="C6" s="2" t="s">
        <v>288</v>
      </c>
      <c r="D6" s="412">
        <v>30</v>
      </c>
      <c r="E6" s="413"/>
      <c r="F6" s="412"/>
      <c r="G6" s="412"/>
      <c r="H6" s="189" t="s">
        <v>409</v>
      </c>
      <c r="I6" s="190">
        <v>30</v>
      </c>
      <c r="J6" s="189" t="s">
        <v>410</v>
      </c>
      <c r="K6" s="190">
        <f>30*10/45</f>
        <v>6.666666666666667</v>
      </c>
      <c r="L6" s="189" t="s">
        <v>437</v>
      </c>
      <c r="M6" s="190">
        <f>30*30/45</f>
        <v>20</v>
      </c>
    </row>
    <row r="7" spans="3:13" ht="44.25" customHeight="1">
      <c r="C7" s="2" t="s">
        <v>289</v>
      </c>
      <c r="D7" s="412">
        <v>150</v>
      </c>
      <c r="E7" s="413"/>
      <c r="F7" s="412"/>
      <c r="G7" s="412"/>
      <c r="H7" s="189" t="s">
        <v>336</v>
      </c>
      <c r="I7" s="190">
        <v>150</v>
      </c>
      <c r="J7" s="189" t="s">
        <v>355</v>
      </c>
      <c r="K7" s="190">
        <v>0</v>
      </c>
      <c r="L7" s="189" t="s">
        <v>336</v>
      </c>
      <c r="M7" s="190">
        <v>150</v>
      </c>
    </row>
    <row r="8" spans="3:13" ht="173.25" customHeight="1">
      <c r="C8" s="2" t="s">
        <v>290</v>
      </c>
      <c r="D8" s="412">
        <v>20</v>
      </c>
      <c r="E8" s="413"/>
      <c r="F8" s="412"/>
      <c r="G8" s="412"/>
      <c r="H8" s="189" t="s">
        <v>336</v>
      </c>
      <c r="I8" s="190">
        <v>20</v>
      </c>
      <c r="J8" s="189" t="s">
        <v>336</v>
      </c>
      <c r="K8" s="190">
        <v>20</v>
      </c>
      <c r="L8" s="189" t="s">
        <v>336</v>
      </c>
      <c r="M8" s="190">
        <v>20</v>
      </c>
    </row>
    <row r="9" spans="3:13" ht="18">
      <c r="C9" s="255" t="s">
        <v>291</v>
      </c>
      <c r="D9" s="408">
        <f>SUM(D5:G8)</f>
        <v>300</v>
      </c>
      <c r="E9" s="409"/>
      <c r="F9" s="410"/>
      <c r="G9" s="411"/>
      <c r="H9" s="138"/>
      <c r="I9" s="139">
        <f>SUM(I4:I8)</f>
        <v>300</v>
      </c>
      <c r="J9" s="138"/>
      <c r="K9" s="139">
        <f>SUM(K4:K8)</f>
        <v>60</v>
      </c>
      <c r="L9" s="138"/>
      <c r="M9" s="139">
        <f>SUM(M4:M8)</f>
        <v>256.6666666666667</v>
      </c>
    </row>
    <row r="10" ht="15">
      <c r="E10" s="305"/>
    </row>
    <row r="11" ht="15">
      <c r="E11" s="305"/>
    </row>
    <row r="12" ht="15">
      <c r="E12" s="305"/>
    </row>
    <row r="13" ht="15">
      <c r="E13" s="305"/>
    </row>
    <row r="113" spans="8:13" ht="14.25">
      <c r="H113" s="24"/>
      <c r="I113" s="24"/>
      <c r="J113" s="24"/>
      <c r="K113" s="24"/>
      <c r="L113" s="24"/>
      <c r="M113" s="24"/>
    </row>
  </sheetData>
  <sheetProtection/>
  <mergeCells count="10">
    <mergeCell ref="C1:M1"/>
    <mergeCell ref="D9:G9"/>
    <mergeCell ref="D7:G7"/>
    <mergeCell ref="D8:G8"/>
    <mergeCell ref="C2:G2"/>
    <mergeCell ref="C3:G3"/>
    <mergeCell ref="D4:G4"/>
    <mergeCell ref="D5:G5"/>
    <mergeCell ref="D6:G6"/>
    <mergeCell ref="H2:M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2015-12-03T22:05:05Z</cp:lastPrinted>
  <dcterms:created xsi:type="dcterms:W3CDTF">2011-06-07T15:20:54Z</dcterms:created>
  <dcterms:modified xsi:type="dcterms:W3CDTF">2018-07-22T19:53:43Z</dcterms:modified>
  <cp:category/>
  <cp:version/>
  <cp:contentType/>
  <cp:contentStatus/>
</cp:coreProperties>
</file>